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ESTADÍSTICA\"/>
    </mc:Choice>
  </mc:AlternateContent>
  <xr:revisionPtr revIDLastSave="0" documentId="8_{FB80058E-3ECC-4EB8-912F-58972CFF03F7}" xr6:coauthVersionLast="44" xr6:coauthVersionMax="44" xr10:uidLastSave="{00000000-0000-0000-0000-000000000000}"/>
  <bookViews>
    <workbookView xWindow="-120" yWindow="-120" windowWidth="29040" windowHeight="15990" tabRatio="918" activeTab="1" xr2:uid="{00000000-000D-0000-FFFF-FFFF00000000}"/>
  </bookViews>
  <sheets>
    <sheet name="distribuciones" sheetId="14" r:id="rId1"/>
    <sheet name="7 HIST FRE ABS" sheetId="29" r:id="rId2"/>
    <sheet name="10. HIST FREC REL" sheetId="31" r:id="rId3"/>
    <sheet name="7 10 14 16 hist y polig" sheetId="25" r:id="rId4"/>
    <sheet name="14. POL FREC ABS" sheetId="30" r:id="rId5"/>
    <sheet name="15. OJIVA &quot;O-&quot;" sheetId="33" r:id="rId6"/>
    <sheet name="16. POL FREC REL" sheetId="32" r:id="rId7"/>
    <sheet name="17. OJIVA % &quot;O -&quot;" sheetId="35" r:id="rId8"/>
    <sheet name="18. OJIVA &quot;O+&quot;" sheetId="34" r:id="rId9"/>
    <sheet name="19. OJIVA % &quot;O+&quot;" sheetId="36" r:id="rId10"/>
    <sheet name="15 Y 17. OJIVA ABS Y % O-" sheetId="37" r:id="rId11"/>
    <sheet name="20. CURVA FREC ABS" sheetId="38" r:id="rId12"/>
    <sheet name="21. OJIVA SUAV &quot;O-&quot;" sheetId="40" r:id="rId13"/>
    <sheet name="22. CURVA FREC REL" sheetId="39" r:id="rId14"/>
    <sheet name="23. OJIVA SUAV % &quot;O-&quot;" sheetId="45" r:id="rId15"/>
    <sheet name="24. OJIVA SUAV &quot;O+&quot;" sheetId="41" r:id="rId16"/>
    <sheet name="25. OJIVA SUAV % &quot;O+&quot;" sheetId="44" r:id="rId17"/>
    <sheet name="21 Y 23. OJIVA SUAV ABS Y % O-" sheetId="43" r:id="rId18"/>
    <sheet name="INFERENCIAS" sheetId="48" r:id="rId19"/>
  </sheets>
  <definedNames>
    <definedName name="ANCHO">#REF!</definedName>
    <definedName name="MÍNIMO">#REF!</definedName>
    <definedName name="PRECISIÓN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G17" i="14" l="1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16" i="14"/>
  <c r="AF16" i="14"/>
  <c r="AF17" i="14"/>
  <c r="AF19" i="14"/>
  <c r="AF20" i="14"/>
  <c r="AF21" i="14"/>
  <c r="AF22" i="14"/>
  <c r="AF23" i="14"/>
  <c r="AF24" i="14"/>
  <c r="AF25" i="14"/>
  <c r="AF26" i="14"/>
  <c r="AF27" i="14"/>
  <c r="AF28" i="14"/>
  <c r="AF29" i="14"/>
  <c r="AF30" i="14"/>
  <c r="AF31" i="14"/>
  <c r="AF32" i="14"/>
  <c r="AF33" i="14"/>
  <c r="AF34" i="14"/>
  <c r="AF35" i="14"/>
  <c r="AF36" i="14"/>
  <c r="AF37" i="14"/>
  <c r="AF38" i="14"/>
  <c r="AF39" i="14"/>
  <c r="AF40" i="14"/>
  <c r="AF18" i="14"/>
  <c r="AD38" i="14"/>
  <c r="AD39" i="14"/>
  <c r="AD40" i="14"/>
  <c r="AD16" i="14"/>
  <c r="AD17" i="14"/>
  <c r="AD18" i="14"/>
  <c r="H57" i="14" a="1"/>
  <c r="H57" i="14" s="1"/>
  <c r="F22" i="14"/>
  <c r="AB38" i="14"/>
  <c r="AC38" i="14"/>
  <c r="AE38" i="14"/>
  <c r="AI38" i="14"/>
  <c r="AB39" i="14"/>
  <c r="AC39" i="14"/>
  <c r="AE39" i="14"/>
  <c r="AI39" i="14"/>
  <c r="AB40" i="14"/>
  <c r="AC40" i="14"/>
  <c r="AE40" i="14"/>
  <c r="AI40" i="14"/>
  <c r="AH15" i="14"/>
  <c r="AH16" i="14"/>
  <c r="AH17" i="14"/>
  <c r="AH18" i="14"/>
  <c r="AJ12" i="14"/>
  <c r="H64" i="14" l="1"/>
  <c r="H67" i="14"/>
  <c r="H59" i="14"/>
  <c r="H66" i="14"/>
  <c r="H62" i="14"/>
  <c r="H58" i="14"/>
  <c r="H68" i="14"/>
  <c r="H60" i="14"/>
  <c r="H63" i="14"/>
  <c r="H65" i="14"/>
  <c r="H61" i="14"/>
  <c r="K16" i="14" l="1"/>
  <c r="Z16" i="14" s="1"/>
  <c r="E15" i="14"/>
  <c r="H15" i="14" s="1"/>
  <c r="AZ65" i="14"/>
  <c r="AZ64" i="14"/>
  <c r="AZ55" i="14"/>
  <c r="AZ56" i="14"/>
  <c r="AZ54" i="14"/>
  <c r="D8" i="14"/>
  <c r="C8" i="14"/>
  <c r="E21" i="14"/>
  <c r="AZ63" i="14" l="1"/>
  <c r="AZ60" i="14" s="1"/>
  <c r="BB64" i="14" s="1"/>
  <c r="K15" i="14"/>
  <c r="L16" i="14"/>
  <c r="AA16" i="14" s="1"/>
  <c r="AZ53" i="14"/>
  <c r="AZ50" i="14" s="1"/>
  <c r="BA54" i="14" s="1"/>
  <c r="BA55" i="14"/>
  <c r="BB65" i="14"/>
  <c r="BA65" i="14"/>
  <c r="BA64" i="14"/>
  <c r="L15" i="14" l="1"/>
  <c r="AA15" i="14" s="1"/>
  <c r="Z15" i="14"/>
  <c r="BB55" i="14"/>
  <c r="AK16" i="14"/>
  <c r="BB56" i="14"/>
  <c r="BA56" i="14"/>
  <c r="BA63" i="14"/>
  <c r="BA60" i="14" s="1"/>
  <c r="BB54" i="14"/>
  <c r="BB63" i="14"/>
  <c r="BB60" i="14" s="1"/>
  <c r="O15" i="14"/>
  <c r="M15" i="14"/>
  <c r="K17" i="14"/>
  <c r="Z17" i="14" s="1"/>
  <c r="M16" i="14"/>
  <c r="BA53" i="14"/>
  <c r="BA50" i="14" s="1"/>
  <c r="BB53" i="14" l="1"/>
  <c r="BB50" i="14" s="1"/>
  <c r="L17" i="14"/>
  <c r="O16" i="14"/>
  <c r="N17" i="14" s="1"/>
  <c r="N16" i="14"/>
  <c r="K18" i="14"/>
  <c r="Z18" i="14" s="1"/>
  <c r="AK17" i="14" l="1"/>
  <c r="AA17" i="14"/>
  <c r="M17" i="14"/>
  <c r="L18" i="14"/>
  <c r="Q16" i="14"/>
  <c r="O17" i="14"/>
  <c r="N18" i="14" s="1"/>
  <c r="P16" i="14"/>
  <c r="N15" i="14" s="1"/>
  <c r="AK18" i="14" l="1"/>
  <c r="AA18" i="14"/>
  <c r="M18" i="14"/>
  <c r="Q15" i="14"/>
  <c r="P15" i="14"/>
  <c r="K19" i="14"/>
  <c r="Q17" i="14"/>
  <c r="P17" i="14"/>
  <c r="O18" i="14" l="1"/>
  <c r="Q18" i="14" s="1"/>
  <c r="Z19" i="14"/>
  <c r="L19" i="14"/>
  <c r="AA19" i="14" s="1"/>
  <c r="P18" i="14"/>
  <c r="N19" i="14"/>
  <c r="M19" i="14" l="1"/>
  <c r="K20" i="14"/>
  <c r="Z20" i="14" s="1"/>
  <c r="AK19" i="14"/>
  <c r="L20" i="14" l="1"/>
  <c r="AA20" i="14" s="1"/>
  <c r="O19" i="14"/>
  <c r="N20" i="14" l="1"/>
  <c r="P19" i="14"/>
  <c r="Q19" i="14"/>
  <c r="M20" i="14"/>
  <c r="K21" i="14"/>
  <c r="Z21" i="14" s="1"/>
  <c r="AK20" i="14"/>
  <c r="O20" i="14" l="1"/>
  <c r="L21" i="14"/>
  <c r="AA21" i="14" s="1"/>
  <c r="P20" i="14"/>
  <c r="N21" i="14"/>
  <c r="Q20" i="14"/>
  <c r="M21" i="14" l="1"/>
  <c r="K22" i="14"/>
  <c r="Z22" i="14" s="1"/>
  <c r="AK21" i="14"/>
  <c r="L22" i="14" l="1"/>
  <c r="AA22" i="14" s="1"/>
  <c r="O21" i="14"/>
  <c r="K23" i="14" l="1"/>
  <c r="Z23" i="14" s="1"/>
  <c r="M22" i="14"/>
  <c r="O22" i="14"/>
  <c r="N22" i="14"/>
  <c r="Q22" i="14" s="1"/>
  <c r="P21" i="14"/>
  <c r="Q21" i="14"/>
  <c r="AK22" i="14"/>
  <c r="N23" i="14" l="1"/>
  <c r="P22" i="14"/>
  <c r="L23" i="14"/>
  <c r="AK23" i="14" l="1"/>
  <c r="AA23" i="14"/>
  <c r="M23" i="14"/>
  <c r="K24" i="14"/>
  <c r="Z24" i="14" s="1"/>
  <c r="L24" i="14" l="1"/>
  <c r="AA24" i="14" s="1"/>
  <c r="O23" i="14"/>
  <c r="N24" i="14" l="1"/>
  <c r="P23" i="14"/>
  <c r="Q23" i="14"/>
  <c r="M24" i="14"/>
  <c r="K25" i="14"/>
  <c r="AK24" i="14"/>
  <c r="O24" i="14" l="1"/>
  <c r="P24" i="14" s="1"/>
  <c r="Z25" i="14"/>
  <c r="L25" i="14"/>
  <c r="AA25" i="14" s="1"/>
  <c r="N25" i="14"/>
  <c r="Q24" i="14"/>
  <c r="K26" i="14" l="1"/>
  <c r="M25" i="14"/>
  <c r="AK25" i="14"/>
  <c r="O25" i="14" l="1"/>
  <c r="Q25" i="14" s="1"/>
  <c r="Z26" i="14"/>
  <c r="P25" i="14"/>
  <c r="L26" i="14"/>
  <c r="N26" i="14" l="1"/>
  <c r="AK26" i="14"/>
  <c r="AA26" i="14"/>
  <c r="K27" i="14"/>
  <c r="Z27" i="14" s="1"/>
  <c r="M26" i="14"/>
  <c r="L27" i="14" l="1"/>
  <c r="AA27" i="14" s="1"/>
  <c r="O26" i="14"/>
  <c r="N27" i="14" l="1"/>
  <c r="P26" i="14"/>
  <c r="Q26" i="14"/>
  <c r="M27" i="14"/>
  <c r="K28" i="14"/>
  <c r="AK27" i="14"/>
  <c r="O27" i="14" l="1"/>
  <c r="P27" i="14" s="1"/>
  <c r="Z28" i="14"/>
  <c r="L28" i="14"/>
  <c r="AA28" i="14" s="1"/>
  <c r="Q27" i="14"/>
  <c r="N28" i="14" l="1"/>
  <c r="M28" i="14"/>
  <c r="K29" i="14"/>
  <c r="Z29" i="14" s="1"/>
  <c r="AK28" i="14"/>
  <c r="L29" i="14" l="1"/>
  <c r="AA29" i="14" s="1"/>
  <c r="O28" i="14"/>
  <c r="M29" i="14" l="1"/>
  <c r="K30" i="14"/>
  <c r="Z30" i="14" s="1"/>
  <c r="P28" i="14"/>
  <c r="N29" i="14"/>
  <c r="Q28" i="14"/>
  <c r="AK29" i="14"/>
  <c r="L30" i="14" l="1"/>
  <c r="AA30" i="14" s="1"/>
  <c r="O29" i="14"/>
  <c r="N30" i="14" l="1"/>
  <c r="P29" i="14"/>
  <c r="K31" i="14"/>
  <c r="Z31" i="14" s="1"/>
  <c r="M30" i="14"/>
  <c r="AK30" i="14"/>
  <c r="Q29" i="14"/>
  <c r="L31" i="14" l="1"/>
  <c r="AA31" i="14" s="1"/>
  <c r="O30" i="14"/>
  <c r="Q30" i="14" l="1"/>
  <c r="N31" i="14"/>
  <c r="P30" i="14"/>
  <c r="M31" i="14"/>
  <c r="K32" i="14"/>
  <c r="Z32" i="14" s="1"/>
  <c r="AK31" i="14"/>
  <c r="L32" i="14" l="1"/>
  <c r="AA32" i="14" s="1"/>
  <c r="O31" i="14"/>
  <c r="N32" i="14" l="1"/>
  <c r="P31" i="14"/>
  <c r="Q31" i="14"/>
  <c r="K33" i="14"/>
  <c r="M32" i="14"/>
  <c r="AK32" i="14"/>
  <c r="O32" i="14" l="1"/>
  <c r="N33" i="14" s="1"/>
  <c r="Z33" i="14"/>
  <c r="P32" i="14"/>
  <c r="L33" i="14"/>
  <c r="Q32" i="14"/>
  <c r="AK33" i="14" l="1"/>
  <c r="AA33" i="14"/>
  <c r="M33" i="14"/>
  <c r="K34" i="14"/>
  <c r="Z34" i="14" s="1"/>
  <c r="L34" i="14" l="1"/>
  <c r="AA34" i="14" s="1"/>
  <c r="O33" i="14"/>
  <c r="K35" i="14" l="1"/>
  <c r="Z35" i="14" s="1"/>
  <c r="M34" i="14"/>
  <c r="O34" i="14"/>
  <c r="P33" i="14"/>
  <c r="N34" i="14"/>
  <c r="Q33" i="14"/>
  <c r="AK34" i="14"/>
  <c r="Q34" i="14" l="1"/>
  <c r="P34" i="14"/>
  <c r="N35" i="14"/>
  <c r="L35" i="14"/>
  <c r="AK35" i="14" l="1"/>
  <c r="AA35" i="14"/>
  <c r="M35" i="14"/>
  <c r="K36" i="14"/>
  <c r="O35" i="14" l="1"/>
  <c r="P35" i="14" s="1"/>
  <c r="Z36" i="14"/>
  <c r="N36" i="14"/>
  <c r="L36" i="14"/>
  <c r="Q35" i="14"/>
  <c r="AK36" i="14" l="1"/>
  <c r="AA36" i="14"/>
  <c r="M36" i="14"/>
  <c r="K37" i="14"/>
  <c r="Z37" i="14" s="1"/>
  <c r="L37" i="14" l="1"/>
  <c r="AA37" i="14" s="1"/>
  <c r="O36" i="14"/>
  <c r="P36" i="14" l="1"/>
  <c r="N37" i="14"/>
  <c r="Q36" i="14"/>
  <c r="K38" i="14"/>
  <c r="Z38" i="14" s="1"/>
  <c r="M37" i="14"/>
  <c r="AK37" i="14"/>
  <c r="L38" i="14" l="1"/>
  <c r="AA38" i="14" s="1"/>
  <c r="O37" i="14"/>
  <c r="Q37" i="14" s="1"/>
  <c r="N38" i="14" l="1"/>
  <c r="P37" i="14"/>
  <c r="K39" i="14"/>
  <c r="Z39" i="14" s="1"/>
  <c r="M38" i="14"/>
  <c r="AK38" i="14"/>
  <c r="O38" i="14" l="1"/>
  <c r="P38" i="14" s="1"/>
  <c r="L39" i="14"/>
  <c r="AA39" i="14" s="1"/>
  <c r="Q38" i="14" l="1"/>
  <c r="N39" i="14"/>
  <c r="AK39" i="14"/>
  <c r="K40" i="14"/>
  <c r="Z40" i="14" s="1"/>
  <c r="M39" i="14"/>
  <c r="L40" i="14" l="1"/>
  <c r="AA40" i="14" s="1"/>
  <c r="O39" i="14"/>
  <c r="N40" i="14" l="1"/>
  <c r="O40" i="14" s="1"/>
  <c r="P39" i="14"/>
  <c r="Q39" i="14"/>
  <c r="M40" i="14"/>
  <c r="AK40" i="14"/>
  <c r="Q40" i="14" l="1"/>
  <c r="P40" i="14"/>
  <c r="R15" i="14" a="1"/>
  <c r="R29" i="14" l="1"/>
  <c r="R22" i="14"/>
  <c r="R38" i="14"/>
  <c r="R27" i="14"/>
  <c r="R16" i="14"/>
  <c r="AC17" i="14" s="1"/>
  <c r="R32" i="14"/>
  <c r="R21" i="14"/>
  <c r="R30" i="14"/>
  <c r="R19" i="14"/>
  <c r="R24" i="14"/>
  <c r="R39" i="14"/>
  <c r="R17" i="14"/>
  <c r="R33" i="14"/>
  <c r="R26" i="14"/>
  <c r="R15" i="14"/>
  <c r="R31" i="14"/>
  <c r="R20" i="14"/>
  <c r="R36" i="14"/>
  <c r="R35" i="14"/>
  <c r="R34" i="14"/>
  <c r="R28" i="14"/>
  <c r="R37" i="14"/>
  <c r="R40" i="14"/>
  <c r="R25" i="14"/>
  <c r="R18" i="14"/>
  <c r="R23" i="14"/>
  <c r="AC26" i="14" l="1"/>
  <c r="AD26" i="14" s="1"/>
  <c r="AE24" i="14"/>
  <c r="AE33" i="14"/>
  <c r="AC35" i="14"/>
  <c r="AD35" i="14" s="1"/>
  <c r="AC32" i="14"/>
  <c r="AD32" i="14" s="1"/>
  <c r="AE30" i="14"/>
  <c r="AE16" i="14"/>
  <c r="AC18" i="14"/>
  <c r="AE29" i="14"/>
  <c r="AC31" i="14"/>
  <c r="AD31" i="14" s="1"/>
  <c r="AC28" i="14"/>
  <c r="AD28" i="14" s="1"/>
  <c r="AE26" i="14"/>
  <c r="AC36" i="14"/>
  <c r="AD36" i="14" s="1"/>
  <c r="AE34" i="14"/>
  <c r="R11" i="14"/>
  <c r="AC16" i="14"/>
  <c r="AC22" i="14"/>
  <c r="AD22" i="14" s="1"/>
  <c r="AE20" i="14"/>
  <c r="AE37" i="14"/>
  <c r="AC24" i="14"/>
  <c r="AE22" i="14"/>
  <c r="AE36" i="14"/>
  <c r="AC37" i="14"/>
  <c r="AE35" i="14"/>
  <c r="AE25" i="14"/>
  <c r="AC27" i="14"/>
  <c r="AD27" i="14" s="1"/>
  <c r="AC25" i="14"/>
  <c r="AD25" i="14" s="1"/>
  <c r="AE23" i="14"/>
  <c r="AC33" i="14"/>
  <c r="AE31" i="14"/>
  <c r="AE21" i="14"/>
  <c r="AC23" i="14"/>
  <c r="AE17" i="14"/>
  <c r="AC19" i="14"/>
  <c r="AD19" i="14" s="1"/>
  <c r="AC29" i="14"/>
  <c r="AE27" i="14"/>
  <c r="AC21" i="14"/>
  <c r="AE19" i="14"/>
  <c r="AC34" i="14"/>
  <c r="AE32" i="14"/>
  <c r="AC20" i="14"/>
  <c r="AE18" i="14"/>
  <c r="AC30" i="14"/>
  <c r="AE28" i="14"/>
  <c r="Y25" i="14"/>
  <c r="Y34" i="14"/>
  <c r="Y31" i="14"/>
  <c r="Y17" i="14"/>
  <c r="Y30" i="14"/>
  <c r="Y27" i="14"/>
  <c r="V40" i="14"/>
  <c r="Y40" i="14"/>
  <c r="Y35" i="14"/>
  <c r="Y15" i="14"/>
  <c r="S15" i="14"/>
  <c r="AI16" i="14" s="1"/>
  <c r="Y39" i="14"/>
  <c r="Y21" i="14"/>
  <c r="Y38" i="14"/>
  <c r="Y23" i="14"/>
  <c r="Y37" i="14"/>
  <c r="Y36" i="14"/>
  <c r="Y26" i="14"/>
  <c r="Y24" i="14"/>
  <c r="Y32" i="14"/>
  <c r="Y22" i="14"/>
  <c r="Y18" i="14"/>
  <c r="Y28" i="14"/>
  <c r="Y20" i="14"/>
  <c r="Y33" i="14"/>
  <c r="Y19" i="14"/>
  <c r="Y16" i="14"/>
  <c r="R13" i="14"/>
  <c r="T22" i="14" s="1"/>
  <c r="Y29" i="14"/>
  <c r="AD23" i="14" l="1"/>
  <c r="AD24" i="14"/>
  <c r="AD30" i="14"/>
  <c r="AD34" i="14"/>
  <c r="AD29" i="14"/>
  <c r="AD37" i="14"/>
  <c r="AD20" i="14"/>
  <c r="AD21" i="14"/>
  <c r="AD33" i="14"/>
  <c r="T29" i="14"/>
  <c r="T38" i="14"/>
  <c r="T31" i="14"/>
  <c r="S16" i="14"/>
  <c r="T23" i="14"/>
  <c r="T20" i="14"/>
  <c r="T16" i="14"/>
  <c r="Y9" i="14"/>
  <c r="G15" i="14"/>
  <c r="AJ10" i="14" s="1"/>
  <c r="T28" i="14"/>
  <c r="T32" i="14"/>
  <c r="T21" i="14"/>
  <c r="T39" i="14"/>
  <c r="T15" i="14"/>
  <c r="U15" i="14" s="1"/>
  <c r="AB15" i="14" s="1"/>
  <c r="V39" i="14"/>
  <c r="W40" i="14"/>
  <c r="T27" i="14"/>
  <c r="T34" i="14"/>
  <c r="T19" i="14"/>
  <c r="T18" i="14"/>
  <c r="T24" i="14"/>
  <c r="T30" i="14"/>
  <c r="T25" i="14"/>
  <c r="T33" i="14"/>
  <c r="T26" i="14"/>
  <c r="T36" i="14"/>
  <c r="T37" i="14"/>
  <c r="Y13" i="14"/>
  <c r="Y11" i="14" s="1"/>
  <c r="T35" i="14"/>
  <c r="T40" i="14"/>
  <c r="T17" i="14"/>
  <c r="AM20" i="14" l="1"/>
  <c r="AM24" i="14"/>
  <c r="AM28" i="14"/>
  <c r="AM32" i="14"/>
  <c r="AM36" i="14"/>
  <c r="AM40" i="14"/>
  <c r="AM17" i="14"/>
  <c r="AM21" i="14"/>
  <c r="AM25" i="14"/>
  <c r="AM29" i="14"/>
  <c r="AM33" i="14"/>
  <c r="AM37" i="14"/>
  <c r="AM16" i="14"/>
  <c r="AM18" i="14"/>
  <c r="AM26" i="14"/>
  <c r="AM34" i="14"/>
  <c r="AM19" i="14"/>
  <c r="AM27" i="14"/>
  <c r="AM35" i="14"/>
  <c r="AM22" i="14"/>
  <c r="AM30" i="14"/>
  <c r="AM38" i="14"/>
  <c r="AM23" i="14"/>
  <c r="AM31" i="14"/>
  <c r="AM39" i="14"/>
  <c r="AL16" i="14"/>
  <c r="AI17" i="14"/>
  <c r="AN17" i="14" s="1"/>
  <c r="S17" i="14"/>
  <c r="S18" i="14" s="1"/>
  <c r="AJ16" i="14"/>
  <c r="T13" i="14"/>
  <c r="U16" i="14"/>
  <c r="AB16" i="14" s="1"/>
  <c r="V38" i="14"/>
  <c r="W39" i="14"/>
  <c r="AN16" i="14"/>
  <c r="AS34" i="14"/>
  <c r="AS31" i="14"/>
  <c r="AQ27" i="14"/>
  <c r="AR27" i="14" s="1"/>
  <c r="AS15" i="14"/>
  <c r="AS39" i="14"/>
  <c r="AS21" i="14"/>
  <c r="AS38" i="14"/>
  <c r="AQ23" i="14"/>
  <c r="AR23" i="14" s="1"/>
  <c r="AS32" i="14"/>
  <c r="AS22" i="14"/>
  <c r="AS28" i="14"/>
  <c r="AS20" i="14"/>
  <c r="AS16" i="14"/>
  <c r="AQ29" i="14"/>
  <c r="AR29" i="14" s="1"/>
  <c r="AQ15" i="14"/>
  <c r="AS18" i="14"/>
  <c r="AS19" i="14"/>
  <c r="AQ31" i="14"/>
  <c r="AR31" i="14" s="1"/>
  <c r="AS17" i="14"/>
  <c r="AQ40" i="14"/>
  <c r="AR40" i="14" s="1"/>
  <c r="AS35" i="14"/>
  <c r="AQ38" i="14"/>
  <c r="AR38" i="14" s="1"/>
  <c r="AS23" i="14"/>
  <c r="AS37" i="14"/>
  <c r="AS36" i="14"/>
  <c r="AS26" i="14"/>
  <c r="AQ22" i="14"/>
  <c r="AR22" i="14" s="1"/>
  <c r="AQ20" i="14"/>
  <c r="AR20" i="14" s="1"/>
  <c r="AS33" i="14"/>
  <c r="AQ16" i="14"/>
  <c r="AR16" i="14" s="1"/>
  <c r="AS29" i="14"/>
  <c r="AQ34" i="14"/>
  <c r="AR34" i="14" s="1"/>
  <c r="AS27" i="14"/>
  <c r="AQ39" i="14"/>
  <c r="AR39" i="14" s="1"/>
  <c r="AQ32" i="14"/>
  <c r="AR32" i="14" s="1"/>
  <c r="AQ25" i="14"/>
  <c r="AR25" i="14" s="1"/>
  <c r="AQ17" i="14"/>
  <c r="AR17" i="14" s="1"/>
  <c r="AQ30" i="14"/>
  <c r="AR30" i="14" s="1"/>
  <c r="AS40" i="14"/>
  <c r="AQ35" i="14"/>
  <c r="AR35" i="14" s="1"/>
  <c r="AQ37" i="14"/>
  <c r="AR37" i="14" s="1"/>
  <c r="AQ36" i="14"/>
  <c r="AR36" i="14" s="1"/>
  <c r="AQ26" i="14"/>
  <c r="AR26" i="14" s="1"/>
  <c r="AS24" i="14"/>
  <c r="AQ18" i="14"/>
  <c r="AR18" i="14" s="1"/>
  <c r="AQ33" i="14"/>
  <c r="AR33" i="14" s="1"/>
  <c r="AQ19" i="14"/>
  <c r="AR19" i="14" s="1"/>
  <c r="AS25" i="14"/>
  <c r="AS30" i="14"/>
  <c r="AQ21" i="14"/>
  <c r="AR21" i="14" s="1"/>
  <c r="AQ24" i="14"/>
  <c r="AR24" i="14" s="1"/>
  <c r="AQ28" i="14"/>
  <c r="AR28" i="14" s="1"/>
  <c r="AO16" i="14" l="1"/>
  <c r="AL18" i="14"/>
  <c r="AJ18" i="14"/>
  <c r="AI19" i="14"/>
  <c r="AN19" i="14" s="1"/>
  <c r="AL17" i="14"/>
  <c r="AO17" i="14" s="1"/>
  <c r="AJ17" i="14"/>
  <c r="AI18" i="14"/>
  <c r="AN18" i="14" s="1"/>
  <c r="AS13" i="14"/>
  <c r="AQ13" i="14"/>
  <c r="AQ6" i="14" s="1"/>
  <c r="AR15" i="14"/>
  <c r="AR13" i="14" s="1"/>
  <c r="AR6" i="14" s="1"/>
  <c r="S19" i="14"/>
  <c r="AP16" i="14"/>
  <c r="U17" i="14"/>
  <c r="AB17" i="14" s="1"/>
  <c r="V37" i="14"/>
  <c r="W38" i="14"/>
  <c r="AO18" i="14" l="1"/>
  <c r="AL19" i="14"/>
  <c r="AO19" i="14" s="1"/>
  <c r="AI20" i="14"/>
  <c r="AN20" i="14" s="1"/>
  <c r="AJ19" i="14"/>
  <c r="S20" i="14"/>
  <c r="V36" i="14"/>
  <c r="W37" i="14"/>
  <c r="AP17" i="14"/>
  <c r="U18" i="14"/>
  <c r="AB18" i="14" s="1"/>
  <c r="AT6" i="14"/>
  <c r="AS6" i="14"/>
  <c r="AU6" i="14" s="1"/>
  <c r="AI21" i="14" l="1"/>
  <c r="AN21" i="14" s="1"/>
  <c r="AL20" i="14"/>
  <c r="AO20" i="14" s="1"/>
  <c r="AJ20" i="14"/>
  <c r="V35" i="14"/>
  <c r="W36" i="14"/>
  <c r="AP18" i="14"/>
  <c r="U19" i="14"/>
  <c r="AB19" i="14" s="1"/>
  <c r="S21" i="14"/>
  <c r="AL21" i="14" l="1"/>
  <c r="AO21" i="14" s="1"/>
  <c r="AJ21" i="14"/>
  <c r="AI22" i="14"/>
  <c r="AN22" i="14" s="1"/>
  <c r="V34" i="14"/>
  <c r="W35" i="14"/>
  <c r="S22" i="14"/>
  <c r="AP19" i="14"/>
  <c r="AH19" i="14" s="1"/>
  <c r="U20" i="14"/>
  <c r="AB20" i="14" s="1"/>
  <c r="AL22" i="14" l="1"/>
  <c r="AO22" i="14" s="1"/>
  <c r="AJ22" i="14"/>
  <c r="AI23" i="14"/>
  <c r="AN23" i="14" s="1"/>
  <c r="S23" i="14"/>
  <c r="AP20" i="14"/>
  <c r="AH20" i="14" s="1"/>
  <c r="U21" i="14"/>
  <c r="AB21" i="14" s="1"/>
  <c r="V33" i="14"/>
  <c r="W34" i="14"/>
  <c r="AJ23" i="14" l="1"/>
  <c r="AL23" i="14"/>
  <c r="AO23" i="14" s="1"/>
  <c r="AI24" i="14"/>
  <c r="AN24" i="14" s="1"/>
  <c r="AP21" i="14"/>
  <c r="AH21" i="14" s="1"/>
  <c r="U22" i="14"/>
  <c r="AB22" i="14" s="1"/>
  <c r="S24" i="14"/>
  <c r="W33" i="14"/>
  <c r="V32" i="14"/>
  <c r="AI25" i="14" l="1"/>
  <c r="AN25" i="14" s="1"/>
  <c r="AL24" i="14"/>
  <c r="AO24" i="14" s="1"/>
  <c r="AJ24" i="14"/>
  <c r="S25" i="14"/>
  <c r="AP22" i="14"/>
  <c r="AH22" i="14" s="1"/>
  <c r="U23" i="14"/>
  <c r="AB23" i="14" s="1"/>
  <c r="W32" i="14"/>
  <c r="V31" i="14"/>
  <c r="AL25" i="14" l="1"/>
  <c r="AO25" i="14" s="1"/>
  <c r="AJ25" i="14"/>
  <c r="AI26" i="14"/>
  <c r="AN26" i="14" s="1"/>
  <c r="AP23" i="14"/>
  <c r="AH23" i="14" s="1"/>
  <c r="U24" i="14"/>
  <c r="AB24" i="14" s="1"/>
  <c r="W31" i="14"/>
  <c r="V30" i="14"/>
  <c r="S26" i="14"/>
  <c r="AL26" i="14" l="1"/>
  <c r="AO26" i="14" s="1"/>
  <c r="AJ26" i="14"/>
  <c r="AI27" i="14"/>
  <c r="AN27" i="14" s="1"/>
  <c r="AP24" i="14"/>
  <c r="AH24" i="14" s="1"/>
  <c r="U25" i="14"/>
  <c r="AB25" i="14" s="1"/>
  <c r="S27" i="14"/>
  <c r="V29" i="14"/>
  <c r="W30" i="14"/>
  <c r="AL27" i="14" l="1"/>
  <c r="AO27" i="14" s="1"/>
  <c r="AJ27" i="14"/>
  <c r="AI28" i="14"/>
  <c r="AN28" i="14" s="1"/>
  <c r="AP25" i="14"/>
  <c r="AH25" i="14" s="1"/>
  <c r="U26" i="14"/>
  <c r="AB26" i="14" s="1"/>
  <c r="S28" i="14"/>
  <c r="W29" i="14"/>
  <c r="V28" i="14"/>
  <c r="AI29" i="14" l="1"/>
  <c r="AN29" i="14" s="1"/>
  <c r="AL28" i="14"/>
  <c r="AO28" i="14" s="1"/>
  <c r="AJ28" i="14"/>
  <c r="S29" i="14"/>
  <c r="AP26" i="14"/>
  <c r="AH26" i="14" s="1"/>
  <c r="U27" i="14"/>
  <c r="AB27" i="14" s="1"/>
  <c r="W28" i="14"/>
  <c r="V27" i="14"/>
  <c r="AL29" i="14" l="1"/>
  <c r="AO29" i="14" s="1"/>
  <c r="AJ29" i="14"/>
  <c r="AI30" i="14"/>
  <c r="AN30" i="14" s="1"/>
  <c r="V26" i="14"/>
  <c r="W27" i="14"/>
  <c r="S30" i="14"/>
  <c r="AP27" i="14"/>
  <c r="AH27" i="14" s="1"/>
  <c r="U28" i="14"/>
  <c r="AB28" i="14" s="1"/>
  <c r="AL30" i="14" l="1"/>
  <c r="AO30" i="14" s="1"/>
  <c r="AJ30" i="14"/>
  <c r="AI31" i="14"/>
  <c r="AN31" i="14" s="1"/>
  <c r="AP28" i="14"/>
  <c r="AH28" i="14" s="1"/>
  <c r="U29" i="14"/>
  <c r="AB29" i="14" s="1"/>
  <c r="S31" i="14"/>
  <c r="V25" i="14"/>
  <c r="W26" i="14"/>
  <c r="AJ31" i="14" l="1"/>
  <c r="AI32" i="14"/>
  <c r="AN32" i="14" s="1"/>
  <c r="AL31" i="14"/>
  <c r="AO31" i="14" s="1"/>
  <c r="S32" i="14"/>
  <c r="AP29" i="14"/>
  <c r="AH29" i="14" s="1"/>
  <c r="U30" i="14"/>
  <c r="AB30" i="14" s="1"/>
  <c r="W25" i="14"/>
  <c r="V24" i="14"/>
  <c r="AI33" i="14" l="1"/>
  <c r="AN33" i="14" s="1"/>
  <c r="AL32" i="14"/>
  <c r="AO32" i="14" s="1"/>
  <c r="AJ32" i="14"/>
  <c r="AP30" i="14"/>
  <c r="AH30" i="14" s="1"/>
  <c r="U31" i="14"/>
  <c r="AB31" i="14" s="1"/>
  <c r="V23" i="14"/>
  <c r="W24" i="14"/>
  <c r="S33" i="14"/>
  <c r="AL33" i="14" l="1"/>
  <c r="AO33" i="14" s="1"/>
  <c r="AJ33" i="14"/>
  <c r="AI34" i="14"/>
  <c r="AN34" i="14" s="1"/>
  <c r="AP31" i="14"/>
  <c r="AH31" i="14" s="1"/>
  <c r="U32" i="14"/>
  <c r="AB32" i="14" s="1"/>
  <c r="V22" i="14"/>
  <c r="W23" i="14"/>
  <c r="S34" i="14"/>
  <c r="AL34" i="14" l="1"/>
  <c r="AO34" i="14" s="1"/>
  <c r="AJ34" i="14"/>
  <c r="AI35" i="14"/>
  <c r="AN35" i="14" s="1"/>
  <c r="V21" i="14"/>
  <c r="W22" i="14"/>
  <c r="AP32" i="14"/>
  <c r="AH32" i="14" s="1"/>
  <c r="U33" i="14"/>
  <c r="AB33" i="14" s="1"/>
  <c r="S35" i="14"/>
  <c r="AL35" i="14" l="1"/>
  <c r="AO35" i="14" s="1"/>
  <c r="AI36" i="14"/>
  <c r="AN36" i="14" s="1"/>
  <c r="AJ35" i="14"/>
  <c r="V20" i="14"/>
  <c r="W21" i="14"/>
  <c r="S36" i="14"/>
  <c r="AP33" i="14"/>
  <c r="AH33" i="14" s="1"/>
  <c r="U34" i="14"/>
  <c r="AB34" i="14" s="1"/>
  <c r="AI37" i="14" l="1"/>
  <c r="AN37" i="14" s="1"/>
  <c r="AL36" i="14"/>
  <c r="AO36" i="14" s="1"/>
  <c r="AJ36" i="14"/>
  <c r="S37" i="14"/>
  <c r="V19" i="14"/>
  <c r="W20" i="14"/>
  <c r="AP34" i="14"/>
  <c r="AH34" i="14" s="1"/>
  <c r="U35" i="14"/>
  <c r="AB35" i="14" s="1"/>
  <c r="AL37" i="14" l="1"/>
  <c r="AO37" i="14" s="1"/>
  <c r="AJ37" i="14"/>
  <c r="AN38" i="14"/>
  <c r="S38" i="14"/>
  <c r="AP35" i="14"/>
  <c r="AH35" i="14" s="1"/>
  <c r="U36" i="14"/>
  <c r="AB36" i="14" s="1"/>
  <c r="V18" i="14"/>
  <c r="W19" i="14"/>
  <c r="AL38" i="14" l="1"/>
  <c r="AO38" i="14" s="1"/>
  <c r="AJ38" i="14"/>
  <c r="AN39" i="14"/>
  <c r="V17" i="14"/>
  <c r="W18" i="14"/>
  <c r="S39" i="14"/>
  <c r="AP36" i="14"/>
  <c r="AH36" i="14" s="1"/>
  <c r="U37" i="14"/>
  <c r="AB37" i="14" s="1"/>
  <c r="AJ39" i="14" l="1"/>
  <c r="AL39" i="14"/>
  <c r="AO39" i="14" s="1"/>
  <c r="AN40" i="14"/>
  <c r="S40" i="14"/>
  <c r="AP37" i="14"/>
  <c r="AH37" i="14" s="1"/>
  <c r="U38" i="14"/>
  <c r="V16" i="14"/>
  <c r="W17" i="14"/>
  <c r="AL40" i="14" l="1"/>
  <c r="AO40" i="14" s="1"/>
  <c r="AJ40" i="14"/>
  <c r="W16" i="14"/>
  <c r="V15" i="14"/>
  <c r="W15" i="14" s="1"/>
  <c r="AP38" i="14"/>
  <c r="AH38" i="14" s="1"/>
  <c r="U39" i="14"/>
  <c r="AP39" i="14" l="1"/>
  <c r="AH39" i="14" s="1"/>
  <c r="U40" i="14"/>
  <c r="AP40" i="14" l="1"/>
  <c r="AP13" i="14" l="1"/>
  <c r="AA11" i="14" s="1"/>
  <c r="AH40" i="14"/>
  <c r="Z11" i="14" s="1"/>
</calcChain>
</file>

<file path=xl/sharedStrings.xml><?xml version="1.0" encoding="utf-8"?>
<sst xmlns="http://schemas.openxmlformats.org/spreadsheetml/2006/main" count="163" uniqueCount="144">
  <si>
    <t>Longitud de 100 varillas 
Manufacturadas por la fábrica ABC</t>
  </si>
  <si>
    <t>DISTRIBUCIONES O TABLAS</t>
  </si>
  <si>
    <t>Promedio de las desviacones</t>
  </si>
  <si>
    <t>Desviación Media</t>
  </si>
  <si>
    <t>Varianza 
Sn</t>
  </si>
  <si>
    <t>Varianza 
Sn-1</t>
  </si>
  <si>
    <t>Desviación estandar</t>
  </si>
  <si>
    <t>Distribuciones</t>
  </si>
  <si>
    <t>1. Distr. Frec. Abs.</t>
  </si>
  <si>
    <t>2. Distr. Frec. 
Abs Acum O-.</t>
  </si>
  <si>
    <t>3. Distr. Frec. Rel</t>
  </si>
  <si>
    <t>4. Distr. Frec.
Rel Acum. O-</t>
  </si>
  <si>
    <t>5, Distr. Frec. 
Abs. Acum. O+</t>
  </si>
  <si>
    <t>6. Distr. Frec. 
Rel Acum O+.</t>
  </si>
  <si>
    <t xml:space="preserve">GRÁFICOS </t>
  </si>
  <si>
    <t>Grado: x.x Presentado por: 
1 xxx xxx
2 xxx xxx
3 xxx xxx</t>
  </si>
  <si>
    <t>Histogramas</t>
  </si>
  <si>
    <t>7. Hist Frec Abs</t>
  </si>
  <si>
    <t>8. Hist Frec 
Abs acum O-</t>
  </si>
  <si>
    <t>10. His Frec Rel</t>
  </si>
  <si>
    <t>11.  Hist Frec 
Rel Acum O-</t>
  </si>
  <si>
    <t>13.  Hist Frec Rel. Acum O+</t>
  </si>
  <si>
    <t>Polígonos</t>
  </si>
  <si>
    <t>14. Pol Frec Abs</t>
  </si>
  <si>
    <t>15. Pol Frec Abs. Acum u  
Ojiva "O -"</t>
  </si>
  <si>
    <t>16. Pol Frec Rel</t>
  </si>
  <si>
    <t>17. Pol Frec Rel. 
Acum u 
Ojiva % "O -"</t>
  </si>
  <si>
    <t>18. Pol Frec Abs. Acum u
Ojiva "O +"</t>
  </si>
  <si>
    <t>19. Pol Frec Rel Acum u 
Ojiva % "O +"</t>
  </si>
  <si>
    <t>Curvas y ojivas</t>
  </si>
  <si>
    <t>20. Curva Frec 
Abs</t>
  </si>
  <si>
    <t>21. Ojiva "O -" 
suavizada</t>
  </si>
  <si>
    <t>22. Curva Frec 
Rel</t>
  </si>
  <si>
    <t>23. Ojiva % "O -" 
suavizada</t>
  </si>
  <si>
    <t>24. 'ojiva "O+" 
suavizada</t>
  </si>
  <si>
    <t>25. Ojiva % "O+" 
suavizada</t>
  </si>
  <si>
    <t>verifique sumas 
iguales</t>
  </si>
  <si>
    <t>DISTRIBUCIONES O TABLAS DE FRECUENCIA</t>
  </si>
  <si>
    <t>Medidas de tendencia central</t>
  </si>
  <si>
    <t>Medidas de dispersion 
o variabilidad</t>
  </si>
  <si>
    <t>posición</t>
  </si>
  <si>
    <t>ordenación creciente</t>
  </si>
  <si>
    <t>ordenación decreciente</t>
  </si>
  <si>
    <t>Precisión</t>
  </si>
  <si>
    <t>clase o 
categoría</t>
  </si>
  <si>
    <t>1. Distr. Frecuencia absoluta
fi</t>
  </si>
  <si>
    <t>2. Distr. Frecuencia abs. acumulada            "o menos" con front sup
Fi</t>
  </si>
  <si>
    <t>3. Distr. Frecuencia Relativa
hi</t>
  </si>
  <si>
    <t>4. Distr. Frecuencia relativa acumulada                      "o menos" con front sup
Hi</t>
  </si>
  <si>
    <t>5. Distr. Frecuencia abs. acumulada            "o más" con front inf</t>
  </si>
  <si>
    <t>6. Distr. Frecuencia relativa acumulada                      "o más" con front inf</t>
  </si>
  <si>
    <t>Media valor experimental</t>
  </si>
  <si>
    <t>Mediana</t>
  </si>
  <si>
    <t>Desviaciones</t>
  </si>
  <si>
    <t>Desviacion Media</t>
  </si>
  <si>
    <t>Varianza</t>
  </si>
  <si>
    <t>Di</t>
  </si>
  <si>
    <t>Di =fi (Xi - media)</t>
  </si>
  <si>
    <t>Di =fi \Xi - media\</t>
  </si>
  <si>
    <t>Sn=(1/n)fi(Xi-media)2</t>
  </si>
  <si>
    <t>suma</t>
  </si>
  <si>
    <t>Front inf</t>
  </si>
  <si>
    <t>Front sup</t>
  </si>
  <si>
    <t>Suma de datos</t>
  </si>
  <si>
    <t>Marcas</t>
  </si>
  <si>
    <t>1. Frecuencia absoluta con lim sup.         Abajo: total datos</t>
  </si>
  <si>
    <t>media n1</t>
  </si>
  <si>
    <t>Varianza Sn1</t>
  </si>
  <si>
    <t>Varianza Sn1-1</t>
  </si>
  <si>
    <t>Sn1=(1/n)fi(Xi-media)2</t>
  </si>
  <si>
    <t>Sn1-1=(1/n-1)fi(Xi-media)2</t>
  </si>
  <si>
    <t>media n2</t>
  </si>
  <si>
    <t>Varianza Sn2</t>
  </si>
  <si>
    <t>Varianza Sn2-1</t>
  </si>
  <si>
    <t>Sn2=(1/n)fi(Xi-media)2</t>
  </si>
  <si>
    <t>Sn2-1=(1/n-1)fi(Xi-media)2</t>
  </si>
  <si>
    <t>GRAFICA</t>
  </si>
  <si>
    <t>INFERENCIA (una por gráfica)</t>
  </si>
  <si>
    <t>Recuerda que para escribir dentro de la misma celda y pasar al siguiente renglón presionas ALT+ENTER</t>
  </si>
  <si>
    <t>Hay dos modas. Una de 9,07 metros y otra de 10,22 metros, 
cada una con una  frecuencia de 32</t>
  </si>
  <si>
    <t>Li-Li-1</t>
  </si>
  <si>
    <t>Fi-Fi-1</t>
  </si>
  <si>
    <t>Li-1</t>
  </si>
  <si>
    <t xml:space="preserve">Li </t>
  </si>
  <si>
    <t>c</t>
  </si>
  <si>
    <t>Finf</t>
  </si>
  <si>
    <t>Fsup</t>
  </si>
  <si>
    <t>Xi</t>
  </si>
  <si>
    <t>fi</t>
  </si>
  <si>
    <t>Fi</t>
  </si>
  <si>
    <t>hi</t>
  </si>
  <si>
    <t>Hi</t>
  </si>
  <si>
    <t>Xi*fi</t>
  </si>
  <si>
    <t>Li</t>
  </si>
  <si>
    <t>Fi-1</t>
  </si>
  <si>
    <t>DIGITE DATOS</t>
  </si>
  <si>
    <t>i</t>
  </si>
  <si>
    <t>ancho</t>
  </si>
  <si>
    <t>C</t>
  </si>
  <si>
    <t>ANCHO</t>
  </si>
  <si>
    <t>Lim inf
Linf</t>
  </si>
  <si>
    <t>Lim sup
Lsup</t>
  </si>
  <si>
    <t>n</t>
  </si>
  <si>
    <t>n/2-Fi-1</t>
  </si>
  <si>
    <t>Rango o Recorrido 
R</t>
  </si>
  <si>
    <t>Número de CLASES 
m</t>
  </si>
  <si>
    <t>Número de datos 
n</t>
  </si>
  <si>
    <t>Ancho 
c</t>
  </si>
  <si>
    <t>Marcas 
de clase</t>
  </si>
  <si>
    <t>Límites
 de clase</t>
  </si>
  <si>
    <t>Fronteras 
o Límites reales de clase</t>
  </si>
  <si>
    <t>Media verdadera</t>
  </si>
  <si>
    <t>Mediana verdadera</t>
  </si>
  <si>
    <t>Moda verdadera</t>
  </si>
  <si>
    <t>% datos</t>
  </si>
  <si>
    <t>CLASE</t>
  </si>
  <si>
    <t>Frec Acum de la clase</t>
  </si>
  <si>
    <t>Frec Acum de la clase anterior</t>
  </si>
  <si>
    <t>Me</t>
  </si>
  <si>
    <t>Limite 
inferior</t>
  </si>
  <si>
    <t>Limite 
superior</t>
  </si>
  <si>
    <t>CUANTILES</t>
  </si>
  <si>
    <t>CUARTILES</t>
  </si>
  <si>
    <t>QUINTILES</t>
  </si>
  <si>
    <t>DECILES</t>
  </si>
  <si>
    <t>PERCENTILES</t>
  </si>
  <si>
    <t>numerador</t>
  </si>
  <si>
    <t>denominador</t>
  </si>
  <si>
    <t>(num/den)*n</t>
  </si>
  <si>
    <t>MEDIANA</t>
  </si>
  <si>
    <t>Moda valor experimental</t>
  </si>
  <si>
    <t>Mediana valor experimental</t>
  </si>
  <si>
    <t xml:space="preserve"> num 1 a 3</t>
  </si>
  <si>
    <t>num 1 a 4</t>
  </si>
  <si>
    <t xml:space="preserve"> num 1 a 9</t>
  </si>
  <si>
    <t xml:space="preserve"> num 1 a 99</t>
  </si>
  <si>
    <t>fi max</t>
  </si>
  <si>
    <t>fi-1</t>
  </si>
  <si>
    <t>fi+1</t>
  </si>
  <si>
    <t>Mo</t>
  </si>
  <si>
    <t>MODAS</t>
  </si>
  <si>
    <t>12.  Hist Frec Abs. Acum O+</t>
  </si>
  <si>
    <t>fi- fi-1</t>
  </si>
  <si>
    <t>fi-fi+1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</si>
</sst>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%"/>
  </numFmts>
  <fonts count="1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20"/>
      <name val="Arial"/>
      <family val="2"/>
    </font>
    <font>
      <sz val="24"/>
      <name val="Arial"/>
      <family val="2"/>
    </font>
    <font>
      <sz val="9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0" fillId="0" borderId="0" xfId="0" applyAlignment="1">
      <alignment horizontal="center"/>
    </xf>
    <xf numFmtId="2" fontId="0" fillId="13" borderId="0" xfId="0" applyNumberFormat="1" applyFill="1" applyAlignment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2" fontId="2" fillId="6" borderId="1" xfId="0" quotePrefix="1" applyNumberFormat="1" applyFont="1" applyFill="1" applyBorder="1" applyAlignment="1" applyProtection="1">
      <alignment horizontal="center" vertical="center" wrapText="1" shrinkToFit="1"/>
    </xf>
    <xf numFmtId="2" fontId="2" fillId="12" borderId="1" xfId="0" quotePrefix="1" applyNumberFormat="1" applyFont="1" applyFill="1" applyBorder="1" applyAlignment="1" applyProtection="1">
      <alignment horizontal="center" vertical="center" wrapText="1" shrinkToFit="1"/>
    </xf>
    <xf numFmtId="2" fontId="0" fillId="11" borderId="1" xfId="0" applyNumberFormat="1" applyFill="1" applyBorder="1" applyAlignment="1" applyProtection="1">
      <alignment horizontal="center"/>
    </xf>
    <xf numFmtId="2" fontId="0" fillId="6" borderId="1" xfId="0" applyNumberFormat="1" applyFill="1" applyBorder="1" applyAlignment="1" applyProtection="1">
      <alignment horizontal="center"/>
    </xf>
    <xf numFmtId="0" fontId="0" fillId="6" borderId="0" xfId="0" applyFill="1" applyAlignment="1" applyProtection="1">
      <alignment horizontal="center"/>
    </xf>
    <xf numFmtId="2" fontId="0" fillId="0" borderId="1" xfId="0" quotePrefix="1" applyNumberFormat="1" applyFill="1" applyBorder="1" applyAlignment="1" applyProtection="1">
      <alignment horizontal="center" vertical="center" wrapText="1" shrinkToFit="1"/>
    </xf>
    <xf numFmtId="2" fontId="0" fillId="0" borderId="1" xfId="0" applyNumberFormat="1" applyFill="1" applyBorder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/>
    </xf>
    <xf numFmtId="166" fontId="0" fillId="0" borderId="1" xfId="1" applyNumberFormat="1" applyFont="1" applyBorder="1" applyAlignment="1" applyProtection="1">
      <alignment horizontal="center"/>
    </xf>
    <xf numFmtId="1" fontId="0" fillId="0" borderId="1" xfId="1" applyNumberFormat="1" applyFont="1" applyBorder="1" applyAlignment="1" applyProtection="1">
      <alignment horizontal="center"/>
    </xf>
    <xf numFmtId="166" fontId="0" fillId="0" borderId="1" xfId="0" applyNumberFormat="1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 vertical="center" wrapText="1" shrinkToFit="1"/>
    </xf>
    <xf numFmtId="0" fontId="0" fillId="0" borderId="1" xfId="0" applyFill="1" applyBorder="1" applyAlignment="1" applyProtection="1">
      <alignment horizontal="center"/>
    </xf>
    <xf numFmtId="1" fontId="0" fillId="0" borderId="1" xfId="1" applyNumberFormat="1" applyFont="1" applyFill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1" fontId="0" fillId="0" borderId="0" xfId="1" applyNumberFormat="1" applyFont="1" applyFill="1" applyAlignment="1" applyProtection="1">
      <alignment horizontal="center"/>
    </xf>
    <xf numFmtId="9" fontId="0" fillId="0" borderId="0" xfId="0" applyNumberFormat="1" applyAlignment="1" applyProtection="1">
      <alignment horizontal="center"/>
    </xf>
    <xf numFmtId="0" fontId="1" fillId="10" borderId="1" xfId="0" applyFont="1" applyFill="1" applyBorder="1" applyAlignment="1" applyProtection="1">
      <alignment horizontal="center"/>
    </xf>
    <xf numFmtId="2" fontId="0" fillId="10" borderId="1" xfId="0" applyNumberFormat="1" applyFill="1" applyBorder="1" applyAlignment="1" applyProtection="1">
      <alignment horizontal="center"/>
    </xf>
    <xf numFmtId="2" fontId="0" fillId="9" borderId="1" xfId="0" applyNumberFormat="1" applyFill="1" applyBorder="1" applyAlignment="1" applyProtection="1">
      <alignment horizontal="center"/>
    </xf>
    <xf numFmtId="0" fontId="0" fillId="10" borderId="1" xfId="0" applyFill="1" applyBorder="1" applyAlignment="1" applyProtection="1">
      <alignment horizontal="center"/>
    </xf>
    <xf numFmtId="0" fontId="0" fillId="9" borderId="1" xfId="0" applyFill="1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  <protection locked="0"/>
    </xf>
    <xf numFmtId="2" fontId="0" fillId="0" borderId="12" xfId="0" applyNumberForma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1" fillId="6" borderId="1" xfId="0" applyFont="1" applyFill="1" applyBorder="1" applyAlignment="1" applyProtection="1">
      <alignment horizontal="center" vertical="center" wrapText="1" shrinkToFit="1"/>
    </xf>
    <xf numFmtId="0" fontId="1" fillId="3" borderId="1" xfId="0" quotePrefix="1" applyFont="1" applyFill="1" applyBorder="1" applyAlignment="1" applyProtection="1">
      <alignment horizontal="center" vertical="center" wrapText="1" shrinkToFit="1"/>
    </xf>
    <xf numFmtId="0" fontId="8" fillId="8" borderId="0" xfId="0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4" fillId="10" borderId="0" xfId="0" quotePrefix="1" applyFont="1" applyFill="1" applyBorder="1" applyAlignment="1" applyProtection="1">
      <alignment horizontal="center" vertical="center" wrapText="1" shrinkToFit="1"/>
    </xf>
    <xf numFmtId="165" fontId="0" fillId="0" borderId="0" xfId="0" applyNumberFormat="1" applyFill="1" applyBorder="1" applyAlignment="1" applyProtection="1">
      <alignment horizontal="center"/>
    </xf>
    <xf numFmtId="0" fontId="0" fillId="19" borderId="0" xfId="0" applyFill="1" applyAlignment="1" applyProtection="1">
      <alignment horizontal="center"/>
    </xf>
    <xf numFmtId="2" fontId="0" fillId="19" borderId="1" xfId="0" applyNumberFormat="1" applyFill="1" applyBorder="1" applyAlignment="1" applyProtection="1">
      <alignment horizontal="center"/>
    </xf>
    <xf numFmtId="2" fontId="0" fillId="0" borderId="14" xfId="0" applyNumberFormat="1" applyFill="1" applyBorder="1" applyAlignment="1" applyProtection="1">
      <alignment horizontal="center"/>
    </xf>
    <xf numFmtId="1" fontId="0" fillId="14" borderId="8" xfId="0" applyNumberFormat="1" applyFill="1" applyBorder="1" applyAlignment="1" applyProtection="1">
      <alignment horizontal="center"/>
    </xf>
    <xf numFmtId="1" fontId="0" fillId="14" borderId="1" xfId="0" applyNumberFormat="1" applyFill="1" applyBorder="1" applyAlignment="1" applyProtection="1">
      <alignment horizontal="center"/>
    </xf>
    <xf numFmtId="0" fontId="3" fillId="17" borderId="0" xfId="0" applyFont="1" applyFill="1" applyBorder="1" applyAlignment="1" applyProtection="1">
      <alignment horizontal="center"/>
    </xf>
    <xf numFmtId="0" fontId="0" fillId="8" borderId="7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8" borderId="7" xfId="0" quotePrefix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 vertical="center" wrapText="1"/>
    </xf>
    <xf numFmtId="0" fontId="8" fillId="18" borderId="1" xfId="0" applyFont="1" applyFill="1" applyBorder="1" applyAlignment="1" applyProtection="1">
      <alignment horizontal="left" vertical="center"/>
    </xf>
    <xf numFmtId="0" fontId="8" fillId="18" borderId="1" xfId="0" applyFont="1" applyFill="1" applyBorder="1" applyAlignment="1" applyProtection="1">
      <alignment horizontal="left" vertical="center" wrapText="1"/>
    </xf>
    <xf numFmtId="0" fontId="0" fillId="18" borderId="1" xfId="0" applyFill="1" applyBorder="1" applyAlignment="1" applyProtection="1">
      <alignment horizontal="center"/>
    </xf>
    <xf numFmtId="9" fontId="1" fillId="18" borderId="1" xfId="0" applyNumberFormat="1" applyFont="1" applyFill="1" applyBorder="1" applyAlignment="1" applyProtection="1">
      <alignment horizontal="center"/>
    </xf>
    <xf numFmtId="0" fontId="8" fillId="8" borderId="4" xfId="0" quotePrefix="1" applyFont="1" applyFill="1" applyBorder="1" applyAlignment="1" applyProtection="1">
      <alignment horizontal="center" vertical="center"/>
    </xf>
    <xf numFmtId="2" fontId="0" fillId="0" borderId="12" xfId="0" applyNumberFormat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/>
    </xf>
    <xf numFmtId="1" fontId="0" fillId="0" borderId="0" xfId="0" applyNumberFormat="1" applyBorder="1" applyAlignment="1" applyProtection="1">
      <alignment horizontal="center"/>
    </xf>
    <xf numFmtId="1" fontId="0" fillId="14" borderId="19" xfId="0" applyNumberFormat="1" applyFill="1" applyBorder="1" applyAlignment="1" applyProtection="1">
      <alignment horizontal="center"/>
    </xf>
    <xf numFmtId="0" fontId="0" fillId="13" borderId="21" xfId="0" applyFill="1" applyBorder="1" applyAlignment="1" applyProtection="1">
      <alignment horizontal="center" vertical="center" wrapText="1" shrinkToFit="1"/>
    </xf>
    <xf numFmtId="2" fontId="0" fillId="0" borderId="0" xfId="0" applyNumberFormat="1" applyBorder="1" applyAlignment="1" applyProtection="1">
      <alignment horizontal="center"/>
    </xf>
    <xf numFmtId="0" fontId="0" fillId="0" borderId="0" xfId="0" applyBorder="1" applyProtection="1"/>
    <xf numFmtId="2" fontId="0" fillId="0" borderId="14" xfId="0" applyNumberFormat="1" applyBorder="1" applyAlignment="1" applyProtection="1">
      <alignment horizontal="center"/>
    </xf>
    <xf numFmtId="0" fontId="0" fillId="6" borderId="5" xfId="0" quotePrefix="1" applyFill="1" applyBorder="1" applyAlignment="1" applyProtection="1">
      <alignment horizontal="center" vertical="center"/>
    </xf>
    <xf numFmtId="0" fontId="10" fillId="17" borderId="0" xfId="0" applyFont="1" applyFill="1" applyBorder="1" applyAlignment="1" applyProtection="1">
      <alignment horizontal="center" vertical="center"/>
    </xf>
    <xf numFmtId="0" fontId="8" fillId="16" borderId="0" xfId="0" applyFont="1" applyFill="1" applyBorder="1" applyAlignment="1" applyProtection="1">
      <alignment horizontal="left" vertical="center"/>
    </xf>
    <xf numFmtId="0" fontId="0" fillId="6" borderId="0" xfId="0" applyFill="1" applyBorder="1" applyAlignment="1" applyProtection="1">
      <alignment horizontal="center" vertical="center"/>
    </xf>
    <xf numFmtId="1" fontId="0" fillId="6" borderId="3" xfId="0" applyNumberForma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 shrinkToFit="1"/>
    </xf>
    <xf numFmtId="0" fontId="2" fillId="6" borderId="1" xfId="0" quotePrefix="1" applyFont="1" applyFill="1" applyBorder="1" applyAlignment="1" applyProtection="1">
      <alignment horizontal="center" vertical="center" wrapText="1" shrinkToFit="1"/>
    </xf>
    <xf numFmtId="0" fontId="5" fillId="15" borderId="0" xfId="0" quotePrefix="1" applyFont="1" applyFill="1" applyAlignment="1" applyProtection="1">
      <alignment horizontal="center" vertical="center" wrapText="1" shrinkToFit="1"/>
    </xf>
    <xf numFmtId="2" fontId="1" fillId="0" borderId="1" xfId="0" applyNumberFormat="1" applyFont="1" applyBorder="1" applyAlignment="1" applyProtection="1">
      <alignment horizontal="center"/>
    </xf>
    <xf numFmtId="2" fontId="1" fillId="0" borderId="0" xfId="0" applyNumberFormat="1" applyFont="1" applyBorder="1" applyAlignment="1" applyProtection="1">
      <alignment horizontal="center"/>
    </xf>
    <xf numFmtId="0" fontId="10" fillId="17" borderId="3" xfId="0" applyFont="1" applyFill="1" applyBorder="1" applyAlignment="1" applyProtection="1">
      <alignment horizontal="center" vertical="center"/>
    </xf>
    <xf numFmtId="0" fontId="9" fillId="22" borderId="6" xfId="0" applyFont="1" applyFill="1" applyBorder="1" applyAlignment="1" applyProtection="1">
      <alignment horizontal="center" vertical="center"/>
    </xf>
    <xf numFmtId="0" fontId="9" fillId="22" borderId="3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 wrapText="1" shrinkToFit="1"/>
    </xf>
    <xf numFmtId="0" fontId="2" fillId="6" borderId="1" xfId="0" applyFont="1" applyFill="1" applyBorder="1" applyAlignment="1" applyProtection="1">
      <alignment horizontal="center" vertical="center" wrapText="1" shrinkToFit="1"/>
    </xf>
    <xf numFmtId="0" fontId="2" fillId="6" borderId="1" xfId="0" quotePrefix="1" applyFont="1" applyFill="1" applyBorder="1" applyAlignment="1" applyProtection="1">
      <alignment horizontal="center" vertical="center" wrapText="1" shrinkToFit="1"/>
    </xf>
    <xf numFmtId="0" fontId="1" fillId="18" borderId="1" xfId="0" quotePrefix="1" applyFont="1" applyFill="1" applyBorder="1" applyAlignment="1" applyProtection="1">
      <alignment horizontal="center" vertical="center" wrapText="1" shrinkToFit="1"/>
    </xf>
    <xf numFmtId="0" fontId="1" fillId="18" borderId="8" xfId="0" quotePrefix="1" applyFont="1" applyFill="1" applyBorder="1" applyAlignment="1" applyProtection="1">
      <alignment horizontal="center" vertical="center" wrapText="1" shrinkToFit="1"/>
    </xf>
    <xf numFmtId="0" fontId="0" fillId="3" borderId="8" xfId="0" applyFill="1" applyBorder="1" applyAlignment="1" applyProtection="1">
      <alignment horizontal="center" vertical="center" textRotation="90"/>
    </xf>
    <xf numFmtId="2" fontId="11" fillId="0" borderId="25" xfId="0" applyNumberFormat="1" applyFont="1" applyBorder="1" applyAlignment="1">
      <alignment horizontal="center" vertical="center" wrapText="1"/>
    </xf>
    <xf numFmtId="2" fontId="11" fillId="0" borderId="26" xfId="0" applyNumberFormat="1" applyFont="1" applyBorder="1" applyAlignment="1">
      <alignment horizontal="center" vertical="center" wrapText="1"/>
    </xf>
    <xf numFmtId="2" fontId="11" fillId="0" borderId="27" xfId="0" applyNumberFormat="1" applyFont="1" applyBorder="1" applyAlignment="1">
      <alignment horizontal="center" vertical="center" wrapText="1"/>
    </xf>
    <xf numFmtId="2" fontId="11" fillId="0" borderId="28" xfId="0" applyNumberFormat="1" applyFont="1" applyBorder="1" applyAlignment="1">
      <alignment horizontal="center" vertical="center" wrapText="1"/>
    </xf>
    <xf numFmtId="0" fontId="1" fillId="7" borderId="10" xfId="0" applyFont="1" applyFill="1" applyBorder="1" applyAlignment="1" applyProtection="1">
      <alignment horizontal="center" vertical="center" textRotation="90" wrapText="1" shrinkToFit="1"/>
    </xf>
    <xf numFmtId="0" fontId="0" fillId="7" borderId="11" xfId="0" applyFill="1" applyBorder="1" applyAlignment="1" applyProtection="1">
      <alignment horizontal="center" vertical="center" textRotation="90" wrapText="1" shrinkToFit="1"/>
    </xf>
    <xf numFmtId="0" fontId="1" fillId="3" borderId="14" xfId="0" applyFont="1" applyFill="1" applyBorder="1" applyAlignment="1" applyProtection="1">
      <alignment horizontal="center" vertical="center" wrapText="1" shrinkToFit="1"/>
    </xf>
    <xf numFmtId="0" fontId="1" fillId="3" borderId="15" xfId="0" applyFont="1" applyFill="1" applyBorder="1" applyAlignment="1" applyProtection="1">
      <alignment horizontal="center" vertical="center" wrapText="1" shrinkToFit="1"/>
    </xf>
    <xf numFmtId="0" fontId="1" fillId="3" borderId="9" xfId="0" applyFont="1" applyFill="1" applyBorder="1" applyAlignment="1" applyProtection="1">
      <alignment horizontal="center" vertical="center" wrapText="1" shrinkToFit="1"/>
    </xf>
    <xf numFmtId="0" fontId="2" fillId="6" borderId="1" xfId="0" applyFont="1" applyFill="1" applyBorder="1" applyAlignment="1" applyProtection="1">
      <alignment horizontal="center" vertical="center" wrapText="1" shrinkToFit="1"/>
    </xf>
    <xf numFmtId="0" fontId="2" fillId="6" borderId="1" xfId="0" quotePrefix="1" applyFont="1" applyFill="1" applyBorder="1" applyAlignment="1" applyProtection="1">
      <alignment horizontal="center" vertical="center" wrapText="1" shrinkToFit="1"/>
    </xf>
    <xf numFmtId="0" fontId="1" fillId="3" borderId="8" xfId="0" quotePrefix="1" applyFont="1" applyFill="1" applyBorder="1" applyAlignment="1" applyProtection="1">
      <alignment horizontal="center" vertical="center" textRotation="90" wrapText="1"/>
    </xf>
    <xf numFmtId="0" fontId="0" fillId="3" borderId="8" xfId="0" applyFill="1" applyBorder="1" applyAlignment="1" applyProtection="1">
      <alignment horizontal="center" vertical="center" textRotation="90"/>
    </xf>
    <xf numFmtId="0" fontId="1" fillId="3" borderId="4" xfId="0" quotePrefix="1" applyFont="1" applyFill="1" applyBorder="1" applyAlignment="1" applyProtection="1">
      <alignment horizontal="center" vertical="center" wrapText="1" shrinkToFit="1"/>
    </xf>
    <xf numFmtId="0" fontId="1" fillId="3" borderId="5" xfId="0" quotePrefix="1" applyFont="1" applyFill="1" applyBorder="1" applyAlignment="1" applyProtection="1">
      <alignment horizontal="center" vertical="center" wrapText="1" shrinkToFit="1"/>
    </xf>
    <xf numFmtId="0" fontId="1" fillId="3" borderId="16" xfId="0" quotePrefix="1" applyFont="1" applyFill="1" applyBorder="1" applyAlignment="1" applyProtection="1">
      <alignment horizontal="center" vertical="center" wrapText="1" shrinkToFit="1"/>
    </xf>
    <xf numFmtId="0" fontId="1" fillId="3" borderId="17" xfId="0" quotePrefix="1" applyFont="1" applyFill="1" applyBorder="1" applyAlignment="1" applyProtection="1">
      <alignment horizontal="center" vertical="center" wrapText="1" shrinkToFit="1"/>
    </xf>
    <xf numFmtId="0" fontId="1" fillId="3" borderId="0" xfId="0" quotePrefix="1" applyFont="1" applyFill="1" applyBorder="1" applyAlignment="1" applyProtection="1">
      <alignment horizontal="center" vertical="center" wrapText="1" shrinkToFit="1"/>
    </xf>
    <xf numFmtId="0" fontId="1" fillId="3" borderId="2" xfId="0" quotePrefix="1" applyFont="1" applyFill="1" applyBorder="1" applyAlignment="1" applyProtection="1">
      <alignment horizontal="center" vertical="center" wrapText="1" shrinkToFit="1"/>
    </xf>
    <xf numFmtId="0" fontId="1" fillId="3" borderId="6" xfId="0" quotePrefix="1" applyFont="1" applyFill="1" applyBorder="1" applyAlignment="1" applyProtection="1">
      <alignment horizontal="center" vertical="center" wrapText="1" shrinkToFit="1"/>
    </xf>
    <xf numFmtId="0" fontId="1" fillId="3" borderId="3" xfId="0" quotePrefix="1" applyFont="1" applyFill="1" applyBorder="1" applyAlignment="1" applyProtection="1">
      <alignment horizontal="center" vertical="center" wrapText="1" shrinkToFit="1"/>
    </xf>
    <xf numFmtId="0" fontId="1" fillId="3" borderId="13" xfId="0" quotePrefix="1" applyFont="1" applyFill="1" applyBorder="1" applyAlignment="1" applyProtection="1">
      <alignment horizontal="center" vertical="center" wrapText="1" shrinkToFit="1"/>
    </xf>
    <xf numFmtId="0" fontId="1" fillId="6" borderId="4" xfId="0" quotePrefix="1" applyFont="1" applyFill="1" applyBorder="1" applyAlignment="1" applyProtection="1">
      <alignment horizontal="center" vertical="center" wrapText="1" shrinkToFit="1"/>
    </xf>
    <xf numFmtId="0" fontId="0" fillId="6" borderId="5" xfId="0" quotePrefix="1" applyFill="1" applyBorder="1" applyAlignment="1" applyProtection="1">
      <alignment horizontal="center" vertical="center" wrapText="1" shrinkToFit="1"/>
    </xf>
    <xf numFmtId="0" fontId="0" fillId="6" borderId="16" xfId="0" quotePrefix="1" applyFill="1" applyBorder="1" applyAlignment="1" applyProtection="1">
      <alignment horizontal="center" vertical="center" wrapText="1" shrinkToFit="1"/>
    </xf>
    <xf numFmtId="0" fontId="0" fillId="6" borderId="17" xfId="0" quotePrefix="1" applyFill="1" applyBorder="1" applyAlignment="1" applyProtection="1">
      <alignment horizontal="center" vertical="center" wrapText="1" shrinkToFit="1"/>
    </xf>
    <xf numFmtId="0" fontId="0" fillId="6" borderId="0" xfId="0" quotePrefix="1" applyFill="1" applyBorder="1" applyAlignment="1" applyProtection="1">
      <alignment horizontal="center" vertical="center" wrapText="1" shrinkToFit="1"/>
    </xf>
    <xf numFmtId="0" fontId="0" fillId="6" borderId="2" xfId="0" quotePrefix="1" applyFill="1" applyBorder="1" applyAlignment="1" applyProtection="1">
      <alignment horizontal="center" vertical="center" wrapText="1" shrinkToFit="1"/>
    </xf>
    <xf numFmtId="0" fontId="0" fillId="6" borderId="6" xfId="0" quotePrefix="1" applyFill="1" applyBorder="1" applyAlignment="1" applyProtection="1">
      <alignment horizontal="center" vertical="center" wrapText="1" shrinkToFit="1"/>
    </xf>
    <xf numFmtId="0" fontId="0" fillId="6" borderId="3" xfId="0" quotePrefix="1" applyFill="1" applyBorder="1" applyAlignment="1" applyProtection="1">
      <alignment horizontal="center" vertical="center" wrapText="1" shrinkToFit="1"/>
    </xf>
    <xf numFmtId="0" fontId="0" fillId="6" borderId="13" xfId="0" quotePrefix="1" applyFill="1" applyBorder="1" applyAlignment="1" applyProtection="1">
      <alignment horizontal="center" vertical="center" wrapText="1" shrinkToFit="1"/>
    </xf>
    <xf numFmtId="0" fontId="1" fillId="3" borderId="1" xfId="0" applyFont="1" applyFill="1" applyBorder="1" applyAlignment="1" applyProtection="1">
      <alignment horizontal="center" vertical="center" wrapText="1" shrinkToFit="1"/>
    </xf>
    <xf numFmtId="0" fontId="0" fillId="3" borderId="1" xfId="0" applyFill="1" applyBorder="1" applyAlignment="1" applyProtection="1">
      <alignment horizontal="center" vertical="center" wrapText="1" shrinkToFit="1"/>
    </xf>
    <xf numFmtId="0" fontId="1" fillId="18" borderId="1" xfId="0" applyFont="1" applyFill="1" applyBorder="1" applyAlignment="1" applyProtection="1">
      <alignment horizontal="center" vertical="center" wrapText="1" shrinkToFit="1"/>
    </xf>
    <xf numFmtId="0" fontId="1" fillId="18" borderId="1" xfId="0" quotePrefix="1" applyFont="1" applyFill="1" applyBorder="1" applyAlignment="1" applyProtection="1">
      <alignment horizontal="center" vertical="center" wrapText="1" shrinkToFit="1"/>
    </xf>
    <xf numFmtId="0" fontId="1" fillId="18" borderId="8" xfId="0" applyFont="1" applyFill="1" applyBorder="1" applyAlignment="1" applyProtection="1">
      <alignment horizontal="center" vertical="center" wrapText="1" shrinkToFit="1"/>
    </xf>
    <xf numFmtId="0" fontId="1" fillId="18" borderId="8" xfId="0" quotePrefix="1" applyFont="1" applyFill="1" applyBorder="1" applyAlignment="1" applyProtection="1">
      <alignment horizontal="center" vertical="center" wrapText="1" shrinkToFit="1"/>
    </xf>
    <xf numFmtId="0" fontId="4" fillId="10" borderId="0" xfId="0" quotePrefix="1" applyFont="1" applyFill="1" applyAlignment="1" applyProtection="1">
      <alignment horizontal="center" vertical="center" wrapText="1" shrinkToFit="1"/>
    </xf>
    <xf numFmtId="0" fontId="4" fillId="10" borderId="2" xfId="0" quotePrefix="1" applyFont="1" applyFill="1" applyBorder="1" applyAlignment="1" applyProtection="1">
      <alignment horizontal="center" vertical="center" wrapText="1" shrinkToFit="1"/>
    </xf>
    <xf numFmtId="0" fontId="1" fillId="19" borderId="1" xfId="0" applyFont="1" applyFill="1" applyBorder="1" applyAlignment="1" applyProtection="1">
      <alignment horizontal="center" wrapText="1"/>
    </xf>
    <xf numFmtId="0" fontId="1" fillId="19" borderId="1" xfId="0" applyFont="1" applyFill="1" applyBorder="1" applyAlignment="1" applyProtection="1">
      <alignment horizontal="center"/>
    </xf>
    <xf numFmtId="0" fontId="9" fillId="20" borderId="18" xfId="0" applyFont="1" applyFill="1" applyBorder="1" applyAlignment="1" applyProtection="1">
      <alignment horizontal="center" vertical="center" wrapText="1"/>
    </xf>
    <xf numFmtId="0" fontId="9" fillId="20" borderId="0" xfId="0" applyFont="1" applyFill="1" applyBorder="1" applyAlignment="1" applyProtection="1">
      <alignment horizontal="center" vertical="center" wrapText="1"/>
    </xf>
    <xf numFmtId="0" fontId="5" fillId="15" borderId="0" xfId="0" quotePrefix="1" applyFont="1" applyFill="1" applyAlignment="1" applyProtection="1">
      <alignment horizontal="center" vertical="center" wrapText="1" shrinkToFit="1"/>
    </xf>
    <xf numFmtId="0" fontId="1" fillId="7" borderId="22" xfId="0" applyFont="1" applyFill="1" applyBorder="1" applyAlignment="1" applyProtection="1">
      <alignment horizontal="center" vertical="center" textRotation="90" wrapText="1" shrinkToFit="1"/>
    </xf>
    <xf numFmtId="0" fontId="1" fillId="7" borderId="23" xfId="0" applyFont="1" applyFill="1" applyBorder="1" applyAlignment="1" applyProtection="1">
      <alignment horizontal="center" vertical="center" textRotation="90" wrapText="1" shrinkToFit="1"/>
    </xf>
    <xf numFmtId="0" fontId="1" fillId="7" borderId="24" xfId="0" applyFont="1" applyFill="1" applyBorder="1" applyAlignment="1" applyProtection="1">
      <alignment horizontal="center" vertical="center" textRotation="90" wrapText="1" shrinkToFit="1"/>
    </xf>
    <xf numFmtId="0" fontId="3" fillId="21" borderId="3" xfId="0" applyFont="1" applyFill="1" applyBorder="1" applyAlignment="1" applyProtection="1">
      <alignment horizontal="center"/>
    </xf>
    <xf numFmtId="0" fontId="3" fillId="21" borderId="13" xfId="0" applyFont="1" applyFill="1" applyBorder="1" applyAlignment="1" applyProtection="1">
      <alignment horizontal="center"/>
    </xf>
    <xf numFmtId="0" fontId="3" fillId="21" borderId="0" xfId="0" applyFont="1" applyFill="1" applyBorder="1" applyAlignment="1" applyProtection="1">
      <alignment horizontal="center"/>
    </xf>
    <xf numFmtId="0" fontId="3" fillId="21" borderId="2" xfId="0" applyFont="1" applyFill="1" applyBorder="1" applyAlignment="1" applyProtection="1">
      <alignment horizontal="center"/>
    </xf>
    <xf numFmtId="0" fontId="1" fillId="18" borderId="1" xfId="0" applyFont="1" applyFill="1" applyBorder="1" applyAlignment="1" applyProtection="1">
      <alignment horizontal="center" vertical="center"/>
    </xf>
    <xf numFmtId="9" fontId="1" fillId="18" borderId="1" xfId="0" applyNumberFormat="1" applyFont="1" applyFill="1" applyBorder="1" applyAlignment="1" applyProtection="1">
      <alignment horizontal="center" vertical="center"/>
    </xf>
    <xf numFmtId="2" fontId="1" fillId="11" borderId="1" xfId="0" applyNumberFormat="1" applyFont="1" applyFill="1" applyBorder="1" applyAlignment="1" applyProtection="1">
      <alignment horizontal="center" vertical="center"/>
    </xf>
    <xf numFmtId="0" fontId="1" fillId="7" borderId="30" xfId="0" applyFont="1" applyFill="1" applyBorder="1" applyAlignment="1" applyProtection="1">
      <alignment horizontal="center" vertical="center" textRotation="90" wrapText="1" shrinkToFit="1"/>
    </xf>
    <xf numFmtId="0" fontId="1" fillId="7" borderId="31" xfId="0" applyFont="1" applyFill="1" applyBorder="1" applyAlignment="1" applyProtection="1">
      <alignment horizontal="center" vertical="center" textRotation="90" wrapText="1" shrinkToFit="1"/>
    </xf>
    <xf numFmtId="0" fontId="1" fillId="7" borderId="32" xfId="0" applyFont="1" applyFill="1" applyBorder="1" applyAlignment="1" applyProtection="1">
      <alignment horizontal="center" vertical="center" textRotation="90" wrapText="1" shrinkToFit="1"/>
    </xf>
    <xf numFmtId="0" fontId="0" fillId="3" borderId="5" xfId="0" applyFill="1" applyBorder="1" applyAlignment="1" applyProtection="1">
      <alignment horizontal="center" vertical="center" textRotation="90"/>
    </xf>
    <xf numFmtId="0" fontId="0" fillId="3" borderId="0" xfId="0" applyFill="1" applyBorder="1" applyAlignment="1" applyProtection="1">
      <alignment horizontal="center" vertical="center" textRotation="90"/>
    </xf>
    <xf numFmtId="0" fontId="1" fillId="3" borderId="5" xfId="0" applyFont="1" applyFill="1" applyBorder="1" applyAlignment="1" applyProtection="1">
      <alignment horizontal="center" vertical="center" textRotation="90"/>
    </xf>
    <xf numFmtId="0" fontId="1" fillId="3" borderId="0" xfId="0" applyFont="1" applyFill="1" applyBorder="1" applyAlignment="1" applyProtection="1">
      <alignment horizontal="center" vertical="center" textRotation="90"/>
    </xf>
    <xf numFmtId="0" fontId="0" fillId="4" borderId="5" xfId="0" quotePrefix="1" applyFill="1" applyBorder="1" applyAlignment="1" applyProtection="1">
      <alignment horizontal="center" vertical="center" textRotation="90" wrapText="1" shrinkToFit="1"/>
    </xf>
    <xf numFmtId="0" fontId="0" fillId="4" borderId="0" xfId="0" quotePrefix="1" applyFill="1" applyBorder="1" applyAlignment="1" applyProtection="1">
      <alignment horizontal="center" vertical="center" textRotation="90" wrapText="1" shrinkToFit="1"/>
    </xf>
    <xf numFmtId="0" fontId="0" fillId="5" borderId="29" xfId="0" applyFill="1" applyBorder="1" applyAlignment="1" applyProtection="1">
      <alignment horizontal="center" vertical="center" textRotation="90" wrapText="1" shrinkToFit="1"/>
    </xf>
    <xf numFmtId="0" fontId="0" fillId="5" borderId="20" xfId="0" applyFill="1" applyBorder="1" applyAlignment="1" applyProtection="1">
      <alignment horizontal="center" vertical="center" textRotation="90" wrapText="1" shrinkToFit="1"/>
    </xf>
    <xf numFmtId="0" fontId="1" fillId="15" borderId="22" xfId="0" quotePrefix="1" applyFont="1" applyFill="1" applyBorder="1" applyAlignment="1" applyProtection="1">
      <alignment horizontal="center" vertical="center" textRotation="90" wrapText="1" shrinkToFit="1"/>
    </xf>
    <xf numFmtId="0" fontId="1" fillId="15" borderId="23" xfId="0" quotePrefix="1" applyFont="1" applyFill="1" applyBorder="1" applyAlignment="1" applyProtection="1">
      <alignment horizontal="center" vertical="center" textRotation="90" wrapText="1" shrinkToFit="1"/>
    </xf>
    <xf numFmtId="0" fontId="1" fillId="15" borderId="24" xfId="0" quotePrefix="1" applyFont="1" applyFill="1" applyBorder="1" applyAlignment="1" applyProtection="1">
      <alignment horizontal="center" vertical="center" textRotation="90" wrapText="1" shrinkToFit="1"/>
    </xf>
    <xf numFmtId="0" fontId="1" fillId="7" borderId="22" xfId="0" quotePrefix="1" applyFont="1" applyFill="1" applyBorder="1" applyAlignment="1" applyProtection="1">
      <alignment horizontal="center" vertical="center" textRotation="90" wrapText="1" shrinkToFit="1"/>
    </xf>
    <xf numFmtId="0" fontId="1" fillId="7" borderId="23" xfId="0" quotePrefix="1" applyFont="1" applyFill="1" applyBorder="1" applyAlignment="1" applyProtection="1">
      <alignment horizontal="center" vertical="center" textRotation="90" wrapText="1" shrinkToFit="1"/>
    </xf>
    <xf numFmtId="0" fontId="1" fillId="7" borderId="24" xfId="0" quotePrefix="1" applyFont="1" applyFill="1" applyBorder="1" applyAlignment="1" applyProtection="1">
      <alignment horizontal="center" vertical="center" textRotation="90" wrapText="1" shrinkToFit="1"/>
    </xf>
    <xf numFmtId="0" fontId="3" fillId="3" borderId="8" xfId="0" applyFont="1" applyFill="1" applyBorder="1" applyAlignment="1" applyProtection="1">
      <alignment horizontal="center" vertical="center"/>
    </xf>
    <xf numFmtId="0" fontId="1" fillId="18" borderId="14" xfId="0" applyFont="1" applyFill="1" applyBorder="1" applyAlignment="1" applyProtection="1">
      <alignment horizontal="center" vertical="center" wrapText="1" shrinkToFit="1"/>
    </xf>
    <xf numFmtId="0" fontId="1" fillId="18" borderId="15" xfId="0" applyFont="1" applyFill="1" applyBorder="1" applyAlignment="1" applyProtection="1">
      <alignment horizontal="center" vertical="center" wrapText="1" shrinkToFit="1"/>
    </xf>
    <xf numFmtId="0" fontId="1" fillId="18" borderId="9" xfId="0" applyFont="1" applyFill="1" applyBorder="1" applyAlignment="1" applyProtection="1">
      <alignment horizontal="center" vertical="center" wrapText="1" shrinkToFit="1"/>
    </xf>
    <xf numFmtId="0" fontId="1" fillId="18" borderId="14" xfId="0" applyFont="1" applyFill="1" applyBorder="1" applyAlignment="1" applyProtection="1">
      <alignment horizontal="center" vertical="center" wrapText="1" shrinkToFit="1"/>
    </xf>
    <xf numFmtId="0" fontId="1" fillId="18" borderId="9" xfId="0" applyFont="1" applyFill="1" applyBorder="1" applyAlignment="1" applyProtection="1">
      <alignment horizontal="center" vertical="center" wrapText="1" shrinkToFit="1"/>
    </xf>
    <xf numFmtId="165" fontId="0" fillId="11" borderId="1" xfId="0" applyNumberFormat="1" applyFill="1" applyBorder="1" applyAlignment="1" applyProtection="1">
      <alignment horizontal="center"/>
    </xf>
    <xf numFmtId="0" fontId="0" fillId="7" borderId="23" xfId="0" applyFill="1" applyBorder="1" applyAlignment="1" applyProtection="1">
      <alignment horizontal="center" vertical="center" textRotation="90" wrapText="1" shrinkToFit="1"/>
    </xf>
    <xf numFmtId="0" fontId="0" fillId="7" borderId="24" xfId="0" applyFill="1" applyBorder="1" applyAlignment="1" applyProtection="1">
      <alignment horizontal="center" vertical="center" textRotation="90" wrapText="1" shrinkToFit="1"/>
    </xf>
    <xf numFmtId="0" fontId="1" fillId="23" borderId="8" xfId="0" quotePrefix="1" applyFont="1" applyFill="1" applyBorder="1" applyAlignment="1" applyProtection="1">
      <alignment horizontal="center" vertical="center" textRotation="90" wrapText="1"/>
    </xf>
    <xf numFmtId="0" fontId="0" fillId="23" borderId="8" xfId="0" applyFill="1" applyBorder="1" applyAlignment="1" applyProtection="1">
      <alignment horizontal="center" vertical="center" textRotation="90"/>
    </xf>
    <xf numFmtId="0" fontId="9" fillId="22" borderId="17" xfId="0" applyFont="1" applyFill="1" applyBorder="1" applyAlignment="1" applyProtection="1">
      <alignment horizontal="center" vertical="center"/>
    </xf>
    <xf numFmtId="0" fontId="9" fillId="22" borderId="0" xfId="0" applyFont="1" applyFill="1" applyBorder="1" applyAlignment="1" applyProtection="1">
      <alignment horizontal="center" vertical="center"/>
    </xf>
    <xf numFmtId="0" fontId="9" fillId="22" borderId="0" xfId="0" applyFont="1" applyFill="1" applyBorder="1" applyAlignment="1" applyProtection="1">
      <alignment horizontal="center" vertical="center"/>
    </xf>
    <xf numFmtId="165" fontId="3" fillId="11" borderId="5" xfId="0" applyNumberFormat="1" applyFont="1" applyFill="1" applyBorder="1" applyAlignment="1" applyProtection="1">
      <alignment horizontal="center" vertical="center"/>
    </xf>
    <xf numFmtId="2" fontId="0" fillId="11" borderId="1" xfId="0" applyNumberFormat="1" applyFill="1" applyBorder="1" applyAlignment="1" applyProtection="1">
      <alignment horizontal="center" vertical="center"/>
    </xf>
    <xf numFmtId="165" fontId="0" fillId="0" borderId="1" xfId="0" applyNumberFormat="1" applyBorder="1" applyAlignment="1" applyProtection="1">
      <alignment horizontal="center"/>
    </xf>
    <xf numFmtId="1" fontId="0" fillId="0" borderId="1" xfId="0" applyNumberFormat="1" applyBorder="1" applyAlignment="1" applyProtection="1">
      <alignment horizontal="center"/>
    </xf>
    <xf numFmtId="2" fontId="1" fillId="12" borderId="1" xfId="0" applyNumberFormat="1" applyFont="1" applyFill="1" applyBorder="1" applyAlignment="1" applyProtection="1">
      <alignment horizontal="center" vertical="center"/>
    </xf>
    <xf numFmtId="2" fontId="1" fillId="16" borderId="1" xfId="0" applyNumberFormat="1" applyFont="1" applyFill="1" applyBorder="1" applyAlignment="1" applyProtection="1">
      <alignment horizontal="center" vertical="center"/>
    </xf>
    <xf numFmtId="1" fontId="2" fillId="6" borderId="1" xfId="0" quotePrefix="1" applyNumberFormat="1" applyFont="1" applyFill="1" applyBorder="1" applyAlignment="1" applyProtection="1">
      <alignment horizontal="center" vertical="center" wrapText="1" shrinkToFit="1"/>
    </xf>
    <xf numFmtId="1" fontId="2" fillId="12" borderId="1" xfId="0" quotePrefix="1" applyNumberFormat="1" applyFont="1" applyFill="1" applyBorder="1" applyAlignment="1" applyProtection="1">
      <alignment horizontal="center" vertical="center" wrapText="1" shrinkToFit="1"/>
    </xf>
    <xf numFmtId="1" fontId="2" fillId="16" borderId="1" xfId="0" quotePrefix="1" applyNumberFormat="1" applyFont="1" applyFill="1" applyBorder="1" applyAlignment="1" applyProtection="1">
      <alignment horizontal="center" vertical="center" wrapText="1" shrinkToFit="1"/>
    </xf>
    <xf numFmtId="0" fontId="0" fillId="13" borderId="1" xfId="0" applyFill="1" applyBorder="1" applyAlignment="1" applyProtection="1">
      <alignment horizontal="center" vertical="center"/>
    </xf>
    <xf numFmtId="0" fontId="1" fillId="16" borderId="5" xfId="0" applyFont="1" applyFill="1" applyBorder="1" applyAlignment="1" applyProtection="1">
      <alignment horizontal="center" vertical="center" wrapText="1" shrinkToFit="1"/>
    </xf>
    <xf numFmtId="0" fontId="2" fillId="6" borderId="7" xfId="0" applyFont="1" applyFill="1" applyBorder="1" applyAlignment="1" applyProtection="1">
      <alignment horizontal="center" vertical="center" wrapText="1" shrinkToFit="1"/>
    </xf>
    <xf numFmtId="0" fontId="2" fillId="11" borderId="1" xfId="0" applyFont="1" applyFill="1" applyBorder="1" applyAlignment="1" applyProtection="1">
      <alignment horizontal="center" vertical="center" wrapText="1" shrinkToFit="1"/>
    </xf>
    <xf numFmtId="0" fontId="0" fillId="11" borderId="0" xfId="0" applyFill="1" applyProtection="1"/>
    <xf numFmtId="9" fontId="0" fillId="11" borderId="1" xfId="1" applyFont="1" applyFill="1" applyBorder="1" applyAlignment="1" applyProtection="1">
      <alignment horizontal="center" vertical="center"/>
    </xf>
    <xf numFmtId="165" fontId="3" fillId="11" borderId="0" xfId="0" applyNumberFormat="1" applyFont="1" applyFill="1" applyAlignment="1" applyProtection="1">
      <alignment horizontal="center" vertical="center"/>
    </xf>
    <xf numFmtId="0" fontId="1" fillId="11" borderId="1" xfId="0" applyFont="1" applyFill="1" applyBorder="1" applyAlignment="1" applyProtection="1">
      <alignment horizontal="center" vertical="center" wrapText="1" shrinkToFit="1"/>
    </xf>
    <xf numFmtId="165" fontId="0" fillId="0" borderId="0" xfId="0" applyNumberFormat="1" applyBorder="1" applyAlignment="1" applyProtection="1">
      <alignment horizontal="center"/>
    </xf>
    <xf numFmtId="165" fontId="1" fillId="0" borderId="1" xfId="0" applyNumberFormat="1" applyFont="1" applyBorder="1" applyAlignment="1" applyProtection="1">
      <alignment horizontal="center"/>
    </xf>
    <xf numFmtId="165" fontId="1" fillId="0" borderId="14" xfId="0" applyNumberFormat="1" applyFont="1" applyBorder="1" applyAlignment="1" applyProtection="1">
      <alignment horizontal="center"/>
    </xf>
    <xf numFmtId="165" fontId="3" fillId="11" borderId="1" xfId="0" quotePrefix="1" applyNumberFormat="1" applyFont="1" applyFill="1" applyBorder="1" applyAlignment="1" applyProtection="1">
      <alignment horizontal="center" vertical="center" wrapText="1" shrinkToFit="1"/>
    </xf>
    <xf numFmtId="165" fontId="0" fillId="0" borderId="0" xfId="0" applyNumberForma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" fillId="15" borderId="1" xfId="0" applyFont="1" applyFill="1" applyBorder="1" applyAlignment="1" applyProtection="1">
      <alignment horizontal="center" vertical="center"/>
    </xf>
    <xf numFmtId="0" fontId="1" fillId="22" borderId="1" xfId="0" quotePrefix="1" applyFont="1" applyFill="1" applyBorder="1" applyAlignment="1" applyProtection="1">
      <alignment horizontal="center" vertical="center" wrapText="1"/>
    </xf>
    <xf numFmtId="0" fontId="1" fillId="22" borderId="1" xfId="0" applyFont="1" applyFill="1" applyBorder="1" applyAlignment="1" applyProtection="1">
      <alignment horizontal="center" vertical="center" wrapText="1"/>
    </xf>
    <xf numFmtId="9" fontId="1" fillId="22" borderId="1" xfId="1" applyFont="1" applyFill="1" applyBorder="1" applyAlignment="1" applyProtection="1">
      <alignment horizontal="center" vertical="center" wrapText="1"/>
    </xf>
    <xf numFmtId="1" fontId="1" fillId="22" borderId="1" xfId="0" applyNumberFormat="1" applyFont="1" applyFill="1" applyBorder="1" applyAlignment="1" applyProtection="1">
      <alignment horizontal="center" vertical="center"/>
    </xf>
    <xf numFmtId="0" fontId="1" fillId="22" borderId="1" xfId="0" applyFont="1" applyFill="1" applyBorder="1" applyAlignment="1" applyProtection="1">
      <alignment horizontal="center" vertical="center"/>
    </xf>
    <xf numFmtId="0" fontId="1" fillId="13" borderId="1" xfId="0" quotePrefix="1" applyFont="1" applyFill="1" applyBorder="1" applyAlignment="1" applyProtection="1">
      <alignment horizontal="center" vertical="center" wrapText="1"/>
    </xf>
    <xf numFmtId="0" fontId="1" fillId="13" borderId="1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</dxfs>
  <tableStyles count="0" defaultTableStyle="TableStyleMedium2" defaultPivotStyle="PivotStyleLight16"/>
  <colors>
    <mruColors>
      <color rgb="FF00FF00"/>
      <color rgb="FF99CCFF"/>
      <color rgb="FF00FFFF"/>
      <color rgb="FFFFFFCC"/>
      <color rgb="FFFFFF99"/>
      <color rgb="FFFFCC99"/>
      <color rgb="FFA7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chartsheet" Target="chartsheets/sheet12.xml"/><Relationship Id="rId18" Type="http://schemas.openxmlformats.org/officeDocument/2006/relationships/chartsheet" Target="chartsheets/sheet17.xml"/><Relationship Id="rId3" Type="http://schemas.openxmlformats.org/officeDocument/2006/relationships/chartsheet" Target="chartsheets/sheet2.xml"/><Relationship Id="rId21" Type="http://schemas.openxmlformats.org/officeDocument/2006/relationships/styles" Target="styles.xml"/><Relationship Id="rId7" Type="http://schemas.openxmlformats.org/officeDocument/2006/relationships/chartsheet" Target="chartsheets/sheet6.xml"/><Relationship Id="rId12" Type="http://schemas.openxmlformats.org/officeDocument/2006/relationships/chartsheet" Target="chartsheets/sheet11.xml"/><Relationship Id="rId17" Type="http://schemas.openxmlformats.org/officeDocument/2006/relationships/chartsheet" Target="chartsheets/sheet16.xml"/><Relationship Id="rId2" Type="http://schemas.openxmlformats.org/officeDocument/2006/relationships/chartsheet" Target="chartsheets/sheet1.xml"/><Relationship Id="rId16" Type="http://schemas.openxmlformats.org/officeDocument/2006/relationships/chartsheet" Target="chartsheets/sheet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hartsheet" Target="chartsheets/sheet14.xml"/><Relationship Id="rId23" Type="http://schemas.openxmlformats.org/officeDocument/2006/relationships/calcChain" Target="calcChain.xml"/><Relationship Id="rId10" Type="http://schemas.openxmlformats.org/officeDocument/2006/relationships/chartsheet" Target="chartsheets/sheet9.xml"/><Relationship Id="rId19" Type="http://schemas.openxmlformats.org/officeDocument/2006/relationships/worksheet" Target="worksheets/sheet2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chartsheet" Target="chartsheets/sheet13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Longitud de 100 varillas manufacturadas por la fábrica ABC</a:t>
            </a:r>
          </a:p>
          <a:p>
            <a:pPr>
              <a:defRPr/>
            </a:pPr>
            <a:r>
              <a:rPr lang="es-CO"/>
              <a:t>FUENTE: DEPARTAMENTO DE CALIDAD</a:t>
            </a:r>
          </a:p>
          <a:p>
            <a:pPr>
              <a:defRPr/>
            </a:pPr>
            <a:endParaRPr lang="es-CO"/>
          </a:p>
        </c:rich>
      </c:tx>
      <c:layout>
        <c:manualLayout>
          <c:xMode val="edge"/>
          <c:yMode val="edge"/>
          <c:x val="0.16703198697937807"/>
          <c:y val="5.40914895780181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6313213703099511"/>
          <c:w val="0.89678135405105441"/>
          <c:h val="0.69494290375203915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distribuciones!$Q$15:$Q$23</c:f>
              <c:numCache>
                <c:formatCode>0.00</c:formatCode>
                <c:ptCount val="9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</c:numCache>
            </c:numRef>
          </c:cat>
          <c:val>
            <c:numRef>
              <c:f>distribuciones!$R$15:$R$23</c:f>
              <c:numCache>
                <c:formatCode>General</c:formatCode>
                <c:ptCount val="9"/>
                <c:pt idx="0">
                  <c:v>0</c:v>
                </c:pt>
                <c:pt idx="1">
                  <c:v>4</c:v>
                </c:pt>
                <c:pt idx="2">
                  <c:v>18</c:v>
                </c:pt>
                <c:pt idx="3">
                  <c:v>37</c:v>
                </c:pt>
                <c:pt idx="4">
                  <c:v>33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19F-43C7-A537-D32E344FAE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8763904"/>
        <c:axId val="98765440"/>
      </c:lineChart>
      <c:catAx>
        <c:axId val="987639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in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  <a:alpha val="25000"/>
                    </a:schemeClr>
                  </a:gs>
                  <a:gs pos="0">
                    <a:schemeClr val="dk1">
                      <a:lumMod val="65000"/>
                      <a:lumOff val="35000"/>
                      <a:alpha val="25000"/>
                    </a:schemeClr>
                  </a:gs>
                </a:gsLst>
                <a:lin ang="5400000" scaled="0"/>
              </a:gra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4284128745837958"/>
              <c:y val="0.929853181076672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8765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7654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in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  <a:alpha val="25000"/>
                    </a:schemeClr>
                  </a:gs>
                  <a:gs pos="0">
                    <a:schemeClr val="dk1">
                      <a:lumMod val="65000"/>
                      <a:lumOff val="35000"/>
                      <a:alpha val="25000"/>
                    </a:schemeClr>
                  </a:gs>
                </a:gsLst>
                <a:lin ang="5400000" scaled="0"/>
              </a:gra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8763904"/>
        <c:crosses val="autoZero"/>
        <c:crossBetween val="between"/>
      </c:valAx>
      <c:spPr>
        <a:solidFill>
          <a:sysClr val="window" lastClr="FFFFFF">
            <a:lumMod val="95000"/>
          </a:sys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rgbClr val="FFC000">
        <a:lumMod val="20000"/>
        <a:lumOff val="80000"/>
      </a:srgb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solidFill>
                  <a:schemeClr val="tx1"/>
                </a:solidFill>
                <a:effectLst/>
              </a:rPr>
              <a:t>Longitud de 100 varillas manufacturadas por la fábrica ABC</a:t>
            </a:r>
            <a:endParaRPr lang="es-CO">
              <a:solidFill>
                <a:schemeClr val="tx1"/>
              </a:solidFill>
              <a:effectLst/>
            </a:endParaRPr>
          </a:p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solidFill>
                  <a:schemeClr val="tx1"/>
                </a:solidFill>
                <a:effectLst/>
              </a:rPr>
              <a:t>FUENTE: DEPARTAMENTO DE CALIDAD</a:t>
            </a:r>
            <a:endParaRPr lang="es-CO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76478113277282"/>
          <c:y val="0.18871801066212993"/>
          <c:w val="0.80820116925628926"/>
          <c:h val="0.56816652733720518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00FF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distribuciones!$N$16:$N$40</c:f>
              <c:numCache>
                <c:formatCode>0.000</c:formatCode>
                <c:ptCount val="25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</c:numCache>
            </c:numRef>
          </c:cat>
          <c:val>
            <c:numRef>
              <c:f>distribuciones!$W$16:$W$40</c:f>
              <c:numCache>
                <c:formatCode>0.0%</c:formatCode>
                <c:ptCount val="25"/>
                <c:pt idx="0">
                  <c:v>1</c:v>
                </c:pt>
                <c:pt idx="1">
                  <c:v>0.96</c:v>
                </c:pt>
                <c:pt idx="2">
                  <c:v>0.78</c:v>
                </c:pt>
                <c:pt idx="3">
                  <c:v>0.41</c:v>
                </c:pt>
                <c:pt idx="4">
                  <c:v>0.08</c:v>
                </c:pt>
                <c:pt idx="5">
                  <c:v>0.02</c:v>
                </c:pt>
                <c:pt idx="6">
                  <c:v>0.01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2-474F-8A00-DB650500430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4212480"/>
        <c:axId val="94215552"/>
      </c:lineChart>
      <c:catAx>
        <c:axId val="94212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LONGITUD (m)</a:t>
                </a:r>
              </a:p>
            </c:rich>
          </c:tx>
          <c:layout>
            <c:manualLayout>
              <c:xMode val="edge"/>
              <c:yMode val="edge"/>
              <c:x val="0.44173140954495005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215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215552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21248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rgbClr xmlns:mc="http://schemas.openxmlformats.org/markup-compatibility/2006" xmlns:a14="http://schemas.microsoft.com/office/drawing/2010/main" val="FFFFFF" mc:Ignorable="a14" a14:legacySpreadsheetColorIndex="9"/>
            </a:gs>
            <a:gs pos="100000">
              <a:schemeClr val="bg1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99CCFF"/>
    </a:soli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rgbClr val="FFFFFF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7455138662316477"/>
          <c:w val="0.78445870261446304"/>
          <c:h val="0.62078557594273676"/>
        </c:manualLayout>
      </c:layout>
      <c:lineChart>
        <c:grouping val="standard"/>
        <c:varyColors val="0"/>
        <c:ser>
          <c:idx val="1"/>
          <c:order val="0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distribuciones!$S$15:$S$40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22</c:v>
                </c:pt>
                <c:pt idx="3">
                  <c:v>59</c:v>
                </c:pt>
                <c:pt idx="4">
                  <c:v>92</c:v>
                </c:pt>
                <c:pt idx="5">
                  <c:v>98</c:v>
                </c:pt>
                <c:pt idx="6">
                  <c:v>99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6C-4D17-AD03-E9ACC502E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1104"/>
        <c:axId val="98997376"/>
      </c:lineChart>
      <c:lineChart>
        <c:grouping val="standard"/>
        <c:varyColors val="0"/>
        <c:ser>
          <c:idx val="0"/>
          <c:order val="1"/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distribuciones!$U$15:$U$40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0.22</c:v>
                </c:pt>
                <c:pt idx="3">
                  <c:v>0.59</c:v>
                </c:pt>
                <c:pt idx="4">
                  <c:v>0.91999999999999993</c:v>
                </c:pt>
                <c:pt idx="5">
                  <c:v>0.98</c:v>
                </c:pt>
                <c:pt idx="6">
                  <c:v>0.99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6C-4D17-AD03-E9ACC502E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98999296"/>
        <c:axId val="99005184"/>
      </c:lineChart>
      <c:catAx>
        <c:axId val="98991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38956714761376249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out"/>
        <c:tickLblPos val="nextTo"/>
        <c:spPr>
          <a:ln w="38100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9973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89973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03425774877650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991104"/>
        <c:crosses val="autoZero"/>
        <c:crossBetween val="between"/>
      </c:valAx>
      <c:catAx>
        <c:axId val="98999296"/>
        <c:scaling>
          <c:orientation val="minMax"/>
        </c:scaling>
        <c:delete val="1"/>
        <c:axPos val="b"/>
        <c:majorTickMark val="out"/>
        <c:minorTickMark val="none"/>
        <c:tickLblPos val="nextTo"/>
        <c:crossAx val="99005184"/>
        <c:crosses val="autoZero"/>
        <c:auto val="0"/>
        <c:lblAlgn val="ctr"/>
        <c:lblOffset val="100"/>
        <c:noMultiLvlLbl val="0"/>
      </c:catAx>
      <c:valAx>
        <c:axId val="99005184"/>
        <c:scaling>
          <c:orientation val="minMax"/>
        </c:scaling>
        <c:delete val="0"/>
        <c:axPos val="r"/>
        <c:numFmt formatCode="0.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999296"/>
        <c:crosses val="max"/>
        <c:crossBetween val="between"/>
      </c:valAx>
      <c:spPr>
        <a:gradFill rotWithShape="0">
          <a:gsLst>
            <a:gs pos="0">
              <a:schemeClr val="bg2"/>
            </a:gs>
            <a:gs pos="100000">
              <a:schemeClr val="bg1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chemeClr val="bg1"/>
        </a:gs>
        <a:gs pos="100000">
          <a:srgbClr xmlns:mc="http://schemas.openxmlformats.org/markup-compatibility/2006" xmlns:a14="http://schemas.microsoft.com/office/drawing/2010/main" val="FFFF00" mc:Ignorable="a14" a14:legacySpreadsheetColorIndex="13"/>
        </a:gs>
      </a:gsLst>
      <a:lin ang="27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Longitud de 100 varillas producidas </a:t>
            </a:r>
          </a:p>
          <a:p>
            <a:pPr>
              <a:defRPr/>
            </a:pPr>
            <a:r>
              <a:rPr lang="es-CO"/>
              <a:t>por la fábrica ABC </a:t>
            </a:r>
          </a:p>
          <a:p>
            <a:pPr>
              <a:defRPr/>
            </a:pPr>
            <a:r>
              <a:rPr lang="es-CO"/>
              <a:t>FUENTE: DEPARTAMENTO DE CALIDAD</a:t>
            </a:r>
          </a:p>
        </c:rich>
      </c:tx>
      <c:layout>
        <c:manualLayout>
          <c:xMode val="edge"/>
          <c:yMode val="edge"/>
          <c:x val="0.14983351831298558"/>
          <c:y val="1.9575856443719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6313213703099511"/>
          <c:w val="0.88213877608809432"/>
          <c:h val="0.62032841799855376"/>
        </c:manualLayout>
      </c:layout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20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distribuciones!$R$15:$R$40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18</c:v>
                </c:pt>
                <c:pt idx="3">
                  <c:v>37</c:v>
                </c:pt>
                <c:pt idx="4">
                  <c:v>33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4D6-49F0-8440-3EDAF1C91D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99090816"/>
        <c:axId val="99093888"/>
      </c:lineChart>
      <c:catAx>
        <c:axId val="99090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/>
                  <a:t>LONGITUD (</a:t>
                </a:r>
                <a:r>
                  <a:rPr lang="frc-Latn-001" sz="1400"/>
                  <a:t>m</a:t>
                </a:r>
                <a:r>
                  <a:rPr lang="es-CO" sz="1400"/>
                  <a:t>)</a:t>
                </a:r>
              </a:p>
            </c:rich>
          </c:tx>
          <c:layout>
            <c:manualLayout>
              <c:xMode val="edge"/>
              <c:yMode val="edge"/>
              <c:x val="0.43951165371809103"/>
              <c:y val="0.929853181076672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rgbClr val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9093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909388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/>
                  <a:t>NÚMERO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2985318107667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909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7455138662316477"/>
          <c:w val="0.85418954978058814"/>
          <c:h val="0.62888081418974151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FF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distribuciones!$S$15:$S$40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22</c:v>
                </c:pt>
                <c:pt idx="3">
                  <c:v>59</c:v>
                </c:pt>
                <c:pt idx="4">
                  <c:v>92</c:v>
                </c:pt>
                <c:pt idx="5">
                  <c:v>98</c:v>
                </c:pt>
                <c:pt idx="6">
                  <c:v>99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D0D-4AD8-BDBA-E6E1438261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98852864"/>
        <c:axId val="98854784"/>
      </c:lineChart>
      <c:catAx>
        <c:axId val="9885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3618201997780243"/>
              <c:y val="0.92985318107667214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0" sourceLinked="1"/>
        <c:majorTickMark val="none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8547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8547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0342577487765088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852864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rgbClr xmlns:mc="http://schemas.openxmlformats.org/markup-compatibility/2006" xmlns:a14="http://schemas.microsoft.com/office/drawing/2010/main" val="C0C0C0" mc:Ignorable="a14" a14:legacySpreadsheetColorIndex="22"/>
            </a:gs>
            <a:gs pos="100000">
              <a:schemeClr val="bg1">
                <a:lumMod val="95000"/>
              </a:scheme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9999FF" mc:Ignorable="a14" a14:legacySpreadsheetColorIndex="24"/>
        </a:gs>
        <a:gs pos="100000">
          <a:srgbClr xmlns:mc="http://schemas.openxmlformats.org/markup-compatibility/2006" xmlns:a14="http://schemas.microsoft.com/office/drawing/2010/main" val="FF8080" mc:Ignorable="a14" a14:legacySpreadsheetColorIndex="29"/>
        </a:gs>
      </a:gsLst>
      <a:lin ang="27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Longitud de 100 varillas manufacturadas por la fábrica ABC</a:t>
            </a:r>
          </a:p>
          <a:p>
            <a:pPr>
              <a:defRPr/>
            </a:pPr>
            <a:r>
              <a:rPr lang="es-CO"/>
              <a:t>FUENTE: DEPARTAMENTO DE CALIDAD</a:t>
            </a:r>
          </a:p>
          <a:p>
            <a:pPr>
              <a:defRPr/>
            </a:pPr>
            <a:endParaRPr lang="es-CO"/>
          </a:p>
        </c:rich>
      </c:tx>
      <c:layout>
        <c:manualLayout>
          <c:xMode val="edge"/>
          <c:yMode val="edge"/>
          <c:x val="0.16703198697937807"/>
          <c:y val="5.40914895780181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6313213703099511"/>
          <c:w val="0.89678135405105441"/>
          <c:h val="0.69494290375203915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distribuciones!$T$15:$T$40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0.18</c:v>
                </c:pt>
                <c:pt idx="3">
                  <c:v>0.37</c:v>
                </c:pt>
                <c:pt idx="4">
                  <c:v>0.33</c:v>
                </c:pt>
                <c:pt idx="5">
                  <c:v>0.06</c:v>
                </c:pt>
                <c:pt idx="6">
                  <c:v>0.01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8FC-448C-A84E-ACD4580615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8763904"/>
        <c:axId val="98765440"/>
      </c:lineChart>
      <c:catAx>
        <c:axId val="987639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800"/>
                  <a:t>LONGITUD (m)</a:t>
                </a:r>
              </a:p>
            </c:rich>
          </c:tx>
          <c:layout>
            <c:manualLayout>
              <c:xMode val="edge"/>
              <c:yMode val="edge"/>
              <c:x val="0.44284128745837958"/>
              <c:y val="0.929853181076672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8765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7654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876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gradFill rotWithShape="0">
          <a:gsLst>
            <a:gs pos="0">
              <a:srgbClr xmlns:mc="http://schemas.openxmlformats.org/markup-compatibility/2006" xmlns:a14="http://schemas.microsoft.com/office/drawing/2010/main" val="767676" mc:Ignorable="a14" a14:legacySpreadsheetColorIndex="9">
                <a:gamma/>
                <a:shade val="46275"/>
                <a:invGamma/>
              </a:srgbClr>
            </a:gs>
            <a:gs pos="50000">
              <a:srgbClr xmlns:mc="http://schemas.openxmlformats.org/markup-compatibility/2006" xmlns:a14="http://schemas.microsoft.com/office/drawing/2010/main" val="FFFFFF" mc:Ignorable="a14" a14:legacySpreadsheetColorIndex="9"/>
            </a:gs>
            <a:gs pos="100000">
              <a:srgbClr xmlns:mc="http://schemas.openxmlformats.org/markup-compatibility/2006" xmlns:a14="http://schemas.microsoft.com/office/drawing/2010/main" val="767676" mc:Ignorable="a14" a14:legacySpreadsheetColorIndex="9">
                <a:gamma/>
                <a:shade val="46275"/>
                <a:invGamma/>
              </a:srgbClr>
            </a:gs>
          </a:gsLst>
          <a:lin ang="2700000" scaled="1"/>
        </a:gra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2852386237514"/>
          <c:y val="0.17455138662316477"/>
          <c:w val="0.85519900878966004"/>
          <c:h val="0.62685700462799032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distribuciones!$U$15:$U$40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0.22</c:v>
                </c:pt>
                <c:pt idx="3">
                  <c:v>0.59</c:v>
                </c:pt>
                <c:pt idx="4">
                  <c:v>0.91999999999999993</c:v>
                </c:pt>
                <c:pt idx="5">
                  <c:v>0.98</c:v>
                </c:pt>
                <c:pt idx="6">
                  <c:v>0.99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072-4E4E-9C83-32E653C43B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101366784"/>
        <c:axId val="101373056"/>
      </c:lineChart>
      <c:catAx>
        <c:axId val="101366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4173140954495005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373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1373056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FFFFFF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366784"/>
        <c:crosses val="autoZero"/>
        <c:crossBetween val="between"/>
      </c:valAx>
      <c:spPr>
        <a:gradFill rotWithShape="0">
          <a:gsLst>
            <a:gs pos="0">
              <a:srgbClr val="FFFF00"/>
            </a:gs>
            <a:gs pos="50000">
              <a:srgbClr xmlns:mc="http://schemas.openxmlformats.org/markup-compatibility/2006" xmlns:a14="http://schemas.microsoft.com/office/drawing/2010/main" val="E7CEC2" mc:Ignorable="a14" a14:legacySpreadsheetColorIndex="60">
                <a:gamma/>
                <a:tint val="23922"/>
                <a:invGamma/>
              </a:srgbClr>
            </a:gs>
            <a:gs pos="100000">
              <a:schemeClr val="bg1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800000"/>
    </a:soli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200">
              <a:effectLst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200">
              <a:effectLst/>
            </a:endParaRPr>
          </a:p>
        </c:rich>
      </c:tx>
      <c:layout>
        <c:manualLayout>
          <c:xMode val="edge"/>
          <c:yMode val="edge"/>
          <c:x val="0.1964483906770255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53213558229098"/>
          <c:y val="0.16548706721948009"/>
          <c:w val="0.8253085447484424"/>
          <c:h val="0.58877289255292264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66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distribuciones!$N$16:$N$40</c:f>
              <c:numCache>
                <c:formatCode>0.000</c:formatCode>
                <c:ptCount val="25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</c:numCache>
            </c:numRef>
          </c:cat>
          <c:val>
            <c:numRef>
              <c:f>distribuciones!$V$16:$V$40</c:f>
              <c:numCache>
                <c:formatCode>0</c:formatCode>
                <c:ptCount val="25"/>
                <c:pt idx="0">
                  <c:v>100</c:v>
                </c:pt>
                <c:pt idx="1">
                  <c:v>96</c:v>
                </c:pt>
                <c:pt idx="2">
                  <c:v>78</c:v>
                </c:pt>
                <c:pt idx="3">
                  <c:v>41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210-4395-B690-EEA13FD487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98879360"/>
        <c:axId val="92820992"/>
      </c:lineChart>
      <c:catAx>
        <c:axId val="9887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1600"/>
                  <a:t>LONGITUD (cms)</a:t>
                </a:r>
              </a:p>
            </c:rich>
          </c:tx>
          <c:layout>
            <c:manualLayout>
              <c:xMode val="edge"/>
              <c:yMode val="edge"/>
              <c:x val="0.46170921198668147"/>
              <c:y val="0.94453507340946163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2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820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82099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1400"/>
                  <a:t>NUMERO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7683523654159867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887936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chemeClr val="accent4">
                <a:lumMod val="20000"/>
                <a:lumOff val="80000"/>
              </a:schemeClr>
            </a:gs>
            <a:gs pos="100000">
              <a:schemeClr val="accent6">
                <a:lumMod val="20000"/>
                <a:lumOff val="80000"/>
              </a:scheme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chemeClr val="bg1"/>
        </a:gs>
        <a:gs pos="50000">
          <a:srgbClr xmlns:mc="http://schemas.openxmlformats.org/markup-compatibility/2006" xmlns:a14="http://schemas.microsoft.com/office/drawing/2010/main" val="FF6600" mc:Ignorable="a14" a14:legacySpreadsheetColorIndex="53"/>
        </a:gs>
        <a:gs pos="100000">
          <a:schemeClr val="bg1"/>
        </a:gs>
      </a:gsLst>
      <a:lin ang="189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rich>
      </c:tx>
      <c:layout>
        <c:manualLayout>
          <c:xMode val="edge"/>
          <c:yMode val="edge"/>
          <c:x val="0.13429522752497225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2852386237514"/>
          <c:y val="0.17455138662316477"/>
          <c:w val="0.86694846867300257"/>
          <c:h val="0.58233319426946373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distribuciones!$N$16:$N$40</c:f>
              <c:numCache>
                <c:formatCode>0.000</c:formatCode>
                <c:ptCount val="25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</c:numCache>
            </c:numRef>
          </c:cat>
          <c:val>
            <c:numRef>
              <c:f>distribuciones!$W$16:$W$40</c:f>
              <c:numCache>
                <c:formatCode>0.0%</c:formatCode>
                <c:ptCount val="25"/>
                <c:pt idx="0">
                  <c:v>1</c:v>
                </c:pt>
                <c:pt idx="1">
                  <c:v>0.96</c:v>
                </c:pt>
                <c:pt idx="2">
                  <c:v>0.78</c:v>
                </c:pt>
                <c:pt idx="3">
                  <c:v>0.41</c:v>
                </c:pt>
                <c:pt idx="4">
                  <c:v>0.08</c:v>
                </c:pt>
                <c:pt idx="5">
                  <c:v>0.02</c:v>
                </c:pt>
                <c:pt idx="6">
                  <c:v>0.01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0D4-4175-A5FF-9B7D0159E21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1737216"/>
        <c:axId val="101744640"/>
      </c:lineChart>
      <c:catAx>
        <c:axId val="101737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2000"/>
                  <a:t>LONGITUD (m)</a:t>
                </a:r>
              </a:p>
            </c:rich>
          </c:tx>
          <c:layout>
            <c:manualLayout>
              <c:xMode val="edge"/>
              <c:yMode val="edge"/>
              <c:x val="0.44173140954495005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none"/>
        <c:minorTickMark val="out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44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174464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%" sourceLinked="1"/>
        <c:majorTickMark val="out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37216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CCFFCC" mc:Ignorable="a14" a14:legacySpreadsheetColorIndex="42"/>
            </a:gs>
            <a:gs pos="100000">
              <a:schemeClr val="bg1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339966" mc:Ignorable="a14" a14:legacySpreadsheetColorIndex="57"/>
        </a:gs>
        <a:gs pos="50000">
          <a:srgbClr xmlns:mc="http://schemas.openxmlformats.org/markup-compatibility/2006" xmlns:a14="http://schemas.microsoft.com/office/drawing/2010/main" val="99CC00" mc:Ignorable="a14" a14:legacySpreadsheetColorIndex="50"/>
        </a:gs>
        <a:gs pos="100000">
          <a:srgbClr xmlns:mc="http://schemas.openxmlformats.org/markup-compatibility/2006" xmlns:a14="http://schemas.microsoft.com/office/drawing/2010/main" val="339966" mc:Ignorable="a14" a14:legacySpreadsheetColorIndex="57"/>
        </a:gs>
      </a:gsLst>
      <a:lin ang="189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rgbClr val="FFFFFF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30555765642685"/>
          <c:y val="0.17657515329162268"/>
          <c:w val="0.73305481562483887"/>
          <c:h val="0.61876176638098546"/>
        </c:manualLayout>
      </c:layout>
      <c:lineChart>
        <c:grouping val="standard"/>
        <c:varyColors val="0"/>
        <c:ser>
          <c:idx val="1"/>
          <c:order val="0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distribuciones!$S$15:$S$40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22</c:v>
                </c:pt>
                <c:pt idx="3">
                  <c:v>59</c:v>
                </c:pt>
                <c:pt idx="4">
                  <c:v>92</c:v>
                </c:pt>
                <c:pt idx="5">
                  <c:v>98</c:v>
                </c:pt>
                <c:pt idx="6">
                  <c:v>99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73-4043-A314-95CF39A6B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510144"/>
        <c:axId val="101532800"/>
      </c:lineChart>
      <c:lineChart>
        <c:grouping val="standard"/>
        <c:varyColors val="0"/>
        <c:ser>
          <c:idx val="0"/>
          <c:order val="1"/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distribuciones!$U$15:$U$40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0.22</c:v>
                </c:pt>
                <c:pt idx="3">
                  <c:v>0.59</c:v>
                </c:pt>
                <c:pt idx="4">
                  <c:v>0.91999999999999993</c:v>
                </c:pt>
                <c:pt idx="5">
                  <c:v>0.98</c:v>
                </c:pt>
                <c:pt idx="6">
                  <c:v>0.99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973-4043-A314-95CF39A6B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534720"/>
        <c:axId val="101536512"/>
      </c:lineChart>
      <c:catAx>
        <c:axId val="101510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1800"/>
                  <a:t>LONGITUD (m)</a:t>
                </a:r>
              </a:p>
            </c:rich>
          </c:tx>
          <c:layout>
            <c:manualLayout>
              <c:xMode val="edge"/>
              <c:yMode val="edge"/>
              <c:x val="0.38956714761376249"/>
              <c:y val="0.92985318107667214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0" sourceLinked="1"/>
        <c:majorTickMark val="out"/>
        <c:minorTickMark val="out"/>
        <c:tickLblPos val="nextTo"/>
        <c:spPr>
          <a:solidFill>
            <a:schemeClr val="bg1"/>
          </a:solidFill>
          <a:ln w="38100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5328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15328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</a:t>
                </a:r>
                <a:endParaRPr lang="frc-Latn-001"/>
              </a:p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c-Latn-001"/>
                  <a:t>Frecuencia absoluta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208657047724751E-2"/>
              <c:y val="0.30342577487765088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solidFill>
            <a:schemeClr val="bg1"/>
          </a:solidFill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510144"/>
        <c:crosses val="autoZero"/>
        <c:crossBetween val="between"/>
      </c:valAx>
      <c:catAx>
        <c:axId val="101534720"/>
        <c:scaling>
          <c:orientation val="minMax"/>
        </c:scaling>
        <c:delete val="1"/>
        <c:axPos val="b"/>
        <c:majorTickMark val="out"/>
        <c:minorTickMark val="none"/>
        <c:tickLblPos val="nextTo"/>
        <c:crossAx val="101536512"/>
        <c:crosses val="autoZero"/>
        <c:auto val="0"/>
        <c:lblAlgn val="ctr"/>
        <c:lblOffset val="100"/>
        <c:noMultiLvlLbl val="0"/>
      </c:catAx>
      <c:valAx>
        <c:axId val="101536512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frc-Latn-001"/>
                  <a:t>Frecuencia</a:t>
                </a:r>
                <a:r>
                  <a:rPr lang="frc-Latn-001" baseline="0"/>
                  <a:t> relativa</a:t>
                </a:r>
                <a:endParaRPr lang="es-CO"/>
              </a:p>
            </c:rich>
          </c:tx>
          <c:overlay val="0"/>
          <c:spPr>
            <a:solidFill>
              <a:schemeClr val="bg1"/>
            </a:solidFill>
          </c:spPr>
        </c:title>
        <c:numFmt formatCode="0.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534720"/>
        <c:crosses val="max"/>
        <c:crossBetween val="between"/>
      </c:valAx>
      <c:spPr>
        <a:gradFill rotWithShape="0">
          <a:gsLst>
            <a:gs pos="0">
              <a:srgbClr val="FFFF00"/>
            </a:gs>
            <a:gs pos="100000">
              <a:srgbClr xmlns:mc="http://schemas.openxmlformats.org/markup-compatibility/2006" xmlns:a14="http://schemas.microsoft.com/office/drawing/2010/main" val="008000" mc:Ignorable="a14" a14:legacySpreadsheetColorIndex="17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0000FF" mc:Ignorable="a14" a14:legacySpreadsheetColorIndex="12"/>
        </a:gs>
        <a:gs pos="100000">
          <a:srgbClr xmlns:mc="http://schemas.openxmlformats.org/markup-compatibility/2006" xmlns:a14="http://schemas.microsoft.com/office/drawing/2010/main" val="FFFF00" mc:Ignorable="a14" a14:legacySpreadsheetColorIndex="13"/>
        </a:gs>
      </a:gsLst>
      <a:lin ang="27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4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Longitud de 100 varillas manufacturadas por la fábrica ABC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FUENTE: DEPARTAMENTO DE CALIDAD</a:t>
            </a:r>
          </a:p>
        </c:rich>
      </c:tx>
      <c:layout>
        <c:manualLayout>
          <c:xMode val="edge"/>
          <c:yMode val="edge"/>
          <c:x val="0.25014491067824413"/>
          <c:y val="3.3667761100861407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0434927821065"/>
          <c:y val="0.15567226068214643"/>
          <c:w val="0.8485142408644083"/>
          <c:h val="0.6437124509814954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xmlns:mc="http://schemas.openxmlformats.org/markup-compatibility/2006" xmlns:a14="http://schemas.microsoft.com/office/drawing/2010/main" val="008000" mc:Ignorable="a14" a14:legacySpreadsheetColorIndex="17"/>
                </a:gs>
                <a:gs pos="100000">
                  <a:srgbClr xmlns:mc="http://schemas.openxmlformats.org/markup-compatibility/2006" xmlns:a14="http://schemas.microsoft.com/office/drawing/2010/main" val="9999FF" mc:Ignorable="a14" a14:legacySpreadsheetColorIndex="24"/>
                </a:gs>
              </a:gsLst>
              <a:lin ang="27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distribuciones!$R$15:$R$40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18</c:v>
                </c:pt>
                <c:pt idx="3">
                  <c:v>37</c:v>
                </c:pt>
                <c:pt idx="4">
                  <c:v>33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6C8-4362-82E5-5685DAE42E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84919424"/>
        <c:axId val="89756032"/>
      </c:barChart>
      <c:catAx>
        <c:axId val="84919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3487415257628897"/>
              <c:y val="0.9178598947751691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out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9756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9756032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 </a:t>
                </a:r>
              </a:p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Frecuencia</a:t>
                </a:r>
                <a:r>
                  <a:rPr lang="es-CO" baseline="0"/>
                  <a:t> Absoluta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208657047724751E-2"/>
              <c:y val="0.339314845024469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4919424"/>
        <c:crosses val="autoZero"/>
        <c:crossBetween val="between"/>
      </c:valAx>
      <c:spPr>
        <a:solidFill>
          <a:schemeClr val="bg1"/>
        </a:solidFill>
        <a:ln w="12700">
          <a:solidFill>
            <a:schemeClr val="bg1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FFFCC" mc:Ignorable="a14" a14:legacySpreadsheetColorIndex="26"/>
        </a:gs>
        <a:gs pos="100000">
          <a:srgbClr xmlns:mc="http://schemas.openxmlformats.org/markup-compatibility/2006" xmlns:a14="http://schemas.microsoft.com/office/drawing/2010/main" val="76765E" mc:Ignorable="a14" a14:legacySpreadsheetColorIndex="26">
            <a:gamma/>
            <a:shade val="46275"/>
            <a:invGamma/>
          </a:srgbClr>
        </a:gs>
      </a:gsLst>
      <a:lin ang="189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400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873473917869034"/>
          <c:y val="1.9575856443719411E-2"/>
        </c:manualLayout>
      </c:layout>
      <c:overlay val="0"/>
      <c:spPr>
        <a:solidFill>
          <a:schemeClr val="bg1">
            <a:lumMod val="95000"/>
          </a:schemeClr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8716218165037"/>
          <c:y val="0.18021704170488523"/>
          <c:w val="0.86053058752271361"/>
          <c:h val="0.6211914660440517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xmlns:mc="http://schemas.openxmlformats.org/markup-compatibility/2006" xmlns:a14="http://schemas.microsoft.com/office/drawing/2010/main" val="00FF00" mc:Ignorable="a14" a14:legacySpreadsheetColorIndex="11"/>
                </a:gs>
                <a:gs pos="100000">
                  <a:srgbClr xmlns:mc="http://schemas.openxmlformats.org/markup-compatibility/2006" xmlns:a14="http://schemas.microsoft.com/office/drawing/2010/main" val="007600" mc:Ignorable="a14" a14:legacySpreadsheetColorIndex="11">
                    <a:gamma/>
                    <a:shade val="46275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distribuciones!$T$15:$T$40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0.18</c:v>
                </c:pt>
                <c:pt idx="3">
                  <c:v>0.37</c:v>
                </c:pt>
                <c:pt idx="4">
                  <c:v>0.33</c:v>
                </c:pt>
                <c:pt idx="5">
                  <c:v>0.06</c:v>
                </c:pt>
                <c:pt idx="6">
                  <c:v>0.01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F-4BAC-957F-DD60B712F7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92230016"/>
        <c:axId val="92233088"/>
      </c:barChart>
      <c:catAx>
        <c:axId val="92230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0843507214206437"/>
              <c:y val="0.92985318107667214"/>
            </c:manualLayout>
          </c:layout>
          <c:overlay val="0"/>
          <c:spPr>
            <a:solidFill>
              <a:schemeClr val="bg1">
                <a:lumMod val="95000"/>
              </a:schemeClr>
            </a:solidFill>
            <a:ln w="25400">
              <a:noFill/>
            </a:ln>
          </c:spPr>
        </c:title>
        <c:numFmt formatCode="0.00" sourceLinked="1"/>
        <c:majorTickMark val="none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23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233088"/>
        <c:scaling>
          <c:orientation val="minMax"/>
          <c:max val="0.4"/>
        </c:scaling>
        <c:delete val="0"/>
        <c:axPos val="l"/>
        <c:majorGridlines>
          <c:spPr>
            <a:ln>
              <a:solidFill>
                <a:schemeClr val="bg2">
                  <a:lumMod val="90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Frecuencia</a:t>
                </a:r>
                <a:r>
                  <a:rPr lang="es-CO" baseline="0"/>
                  <a:t> Relativa</a:t>
                </a:r>
                <a:endParaRPr lang="es-CO"/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</c:spPr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92230016"/>
        <c:crosses val="autoZero"/>
        <c:crossBetween val="between"/>
      </c:valAx>
      <c:spPr>
        <a:solidFill>
          <a:schemeClr val="bg1">
            <a:lumMod val="95000"/>
          </a:schemeClr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400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2530521642619311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21859706362153344"/>
          <c:w val="0.76004145153937586"/>
          <c:h val="0.55447792565575416"/>
        </c:manualLayout>
      </c:layout>
      <c:barChart>
        <c:barDir val="col"/>
        <c:grouping val="clustered"/>
        <c:varyColors val="0"/>
        <c:ser>
          <c:idx val="1"/>
          <c:order val="0"/>
          <c:tx>
            <c:v>Histograma</c:v>
          </c:tx>
          <c:spPr>
            <a:gradFill rotWithShape="0">
              <a:gsLst>
                <a:gs pos="0">
                  <a:srgbClr xmlns:mc="http://schemas.openxmlformats.org/markup-compatibility/2006" xmlns:a14="http://schemas.microsoft.com/office/drawing/2010/main" val="FF00FF" mc:Ignorable="a14" a14:legacySpreadsheetColorIndex="14"/>
                </a:gs>
                <a:gs pos="100000">
                  <a:srgbClr xmlns:mc="http://schemas.openxmlformats.org/markup-compatibility/2006" xmlns:a14="http://schemas.microsoft.com/office/drawing/2010/main" val="A900A9" mc:Ignorable="a14" a14:legacySpreadsheetColorIndex="14">
                    <a:gamma/>
                    <a:shade val="66275"/>
                    <a:invGamma/>
                  </a:srgbClr>
                </a:gs>
              </a:gsLst>
              <a:lin ang="27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distribuciones!$R$15:$R$40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18</c:v>
                </c:pt>
                <c:pt idx="3">
                  <c:v>37</c:v>
                </c:pt>
                <c:pt idx="4">
                  <c:v>33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6A-4B38-9F72-2B6BDFBAC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2931584"/>
        <c:axId val="92938240"/>
      </c:barChart>
      <c:lineChart>
        <c:grouping val="standard"/>
        <c:varyColors val="0"/>
        <c:ser>
          <c:idx val="0"/>
          <c:order val="1"/>
          <c:tx>
            <c:v>Polígono</c:v>
          </c:tx>
          <c:spPr>
            <a:ln w="38100">
              <a:solidFill>
                <a:srgbClr val="FFFF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distribuciones!$T$15:$T$40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0.18</c:v>
                </c:pt>
                <c:pt idx="3">
                  <c:v>0.37</c:v>
                </c:pt>
                <c:pt idx="4">
                  <c:v>0.33</c:v>
                </c:pt>
                <c:pt idx="5">
                  <c:v>0.06</c:v>
                </c:pt>
                <c:pt idx="6">
                  <c:v>0.01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6A-4B38-9F72-2B6BDFBAC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40160"/>
        <c:axId val="92941696"/>
      </c:lineChart>
      <c:catAx>
        <c:axId val="92931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37735849056603776"/>
              <c:y val="0.92985318107667214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" sourceLinked="1"/>
        <c:majorTickMark val="none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9382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2938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7357259380097879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931584"/>
        <c:crosses val="autoZero"/>
        <c:crossBetween val="between"/>
      </c:valAx>
      <c:catAx>
        <c:axId val="92940160"/>
        <c:scaling>
          <c:orientation val="minMax"/>
        </c:scaling>
        <c:delete val="1"/>
        <c:axPos val="b"/>
        <c:majorTickMark val="out"/>
        <c:minorTickMark val="none"/>
        <c:tickLblPos val="nextTo"/>
        <c:crossAx val="92941696"/>
        <c:crosses val="autoZero"/>
        <c:auto val="0"/>
        <c:lblAlgn val="ctr"/>
        <c:lblOffset val="100"/>
        <c:noMultiLvlLbl val="0"/>
      </c:catAx>
      <c:valAx>
        <c:axId val="92941696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% de varillas</a:t>
                </a:r>
              </a:p>
            </c:rich>
          </c:tx>
          <c:layout>
            <c:manualLayout>
              <c:xMode val="edge"/>
              <c:yMode val="edge"/>
              <c:x val="0.95227524972253053"/>
              <c:y val="0.41435562805872755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940160"/>
        <c:crosses val="max"/>
        <c:crossBetween val="between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5405105438401774"/>
          <c:y val="0.12561174551386622"/>
          <c:w val="0.2541620421753607"/>
          <c:h val="4.893964110929853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767676" mc:Ignorable="a14" a14:legacySpreadsheetColorIndex="9">
            <a:gamma/>
            <a:shade val="46275"/>
            <a:invGamma/>
          </a:srgbClr>
        </a:gs>
        <a:gs pos="50000">
          <a:srgbClr xmlns:mc="http://schemas.openxmlformats.org/markup-compatibility/2006" xmlns:a14="http://schemas.microsoft.com/office/drawing/2010/main" val="FFFFFF" mc:Ignorable="a14" a14:legacySpreadsheetColorIndex="9"/>
        </a:gs>
        <a:gs pos="100000">
          <a:srgbClr xmlns:mc="http://schemas.openxmlformats.org/markup-compatibility/2006" xmlns:a14="http://schemas.microsoft.com/office/drawing/2010/main" val="767676" mc:Ignorable="a14" a14:legacySpreadsheetColorIndex="9">
            <a:gamma/>
            <a:shade val="46275"/>
            <a:invGamma/>
          </a:srgbClr>
        </a:gs>
      </a:gsLst>
      <a:lin ang="27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solidFill>
                  <a:schemeClr val="tx1"/>
                </a:solidFill>
                <a:effectLst/>
              </a:rPr>
              <a:t>Longitud de 100 varillas manufacturadas por la fábrica ABC</a:t>
            </a:r>
            <a:endParaRPr lang="es-CO" sz="1400">
              <a:solidFill>
                <a:schemeClr val="tx1"/>
              </a:solidFill>
              <a:effectLst/>
            </a:endParaRPr>
          </a:p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solidFill>
                  <a:schemeClr val="tx1"/>
                </a:solidFill>
                <a:effectLst/>
              </a:rPr>
              <a:t>FUENTE: DEPARTAMENTO DE CALIDAD</a:t>
            </a:r>
            <a:endParaRPr lang="es-CO" sz="14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4983351831298558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6313213703099511"/>
          <c:w val="0.88209451700352703"/>
          <c:h val="0.64637146881086371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distribuciones!$R$15:$R$40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18</c:v>
                </c:pt>
                <c:pt idx="3">
                  <c:v>37</c:v>
                </c:pt>
                <c:pt idx="4">
                  <c:v>33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40-4CF0-BA27-7B275411003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089280"/>
        <c:axId val="85113088"/>
      </c:lineChart>
      <c:catAx>
        <c:axId val="85089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LONGITUD(m)</a:t>
                </a:r>
              </a:p>
            </c:rich>
          </c:tx>
          <c:layout>
            <c:manualLayout>
              <c:xMode val="edge"/>
              <c:yMode val="edge"/>
              <c:x val="0.43951165371809103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noFill/>
          <a:ln w="3175">
            <a:solidFill>
              <a:schemeClr val="tx1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511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113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NUMERO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29853181076672103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508928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rgbClr xmlns:mc="http://schemas.openxmlformats.org/markup-compatibility/2006" xmlns:a14="http://schemas.microsoft.com/office/drawing/2010/main" val="CCFFFF" mc:Ignorable="a14" a14:legacySpreadsheetColorIndex="27"/>
            </a:gs>
            <a:gs pos="100000">
              <a:srgbClr xmlns:mc="http://schemas.openxmlformats.org/markup-compatibility/2006" xmlns:a14="http://schemas.microsoft.com/office/drawing/2010/main" val="5E7676" mc:Ignorable="a14" a14:legacySpreadsheetColorIndex="27">
                <a:gamma/>
                <a:shade val="46275"/>
                <a:invGamma/>
              </a:srgb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bg1"/>
        </a:gs>
        <a:gs pos="100000">
          <a:srgbClr xmlns:mc="http://schemas.openxmlformats.org/markup-compatibility/2006" xmlns:a14="http://schemas.microsoft.com/office/drawing/2010/main" val="717171" mc:Ignorable="a14" a14:legacySpreadsheetColorIndex="63">
            <a:gamma/>
            <a:tint val="69412"/>
            <a:invGamma/>
          </a:srgbClr>
        </a:gs>
        <a:gs pos="100000">
          <a:schemeClr val="bg1"/>
        </a:gs>
      </a:gsLst>
      <a:lin ang="16200000" scaled="1"/>
      <a:tileRect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7455138662316477"/>
          <c:w val="0.83656535995557424"/>
          <c:h val="0.63697605243674638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70C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distribuciones!$S$15:$S$40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22</c:v>
                </c:pt>
                <c:pt idx="3">
                  <c:v>59</c:v>
                </c:pt>
                <c:pt idx="4">
                  <c:v>92</c:v>
                </c:pt>
                <c:pt idx="5">
                  <c:v>98</c:v>
                </c:pt>
                <c:pt idx="6">
                  <c:v>99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0A-4BF9-A260-99F4AE19A9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92981120"/>
        <c:axId val="92733440"/>
      </c:lineChart>
      <c:catAx>
        <c:axId val="9298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3471336290589124"/>
              <c:y val="0.95009126265637911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0" sourceLinked="1"/>
        <c:majorTickMark val="none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733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733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NÚMERO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0342577487765088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98112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rgbClr xmlns:mc="http://schemas.openxmlformats.org/markup-compatibility/2006" xmlns:a14="http://schemas.microsoft.com/office/drawing/2010/main" val="C0C0C0" mc:Ignorable="a14" a14:legacySpreadsheetColorIndex="22"/>
            </a:gs>
            <a:gs pos="100000">
              <a:schemeClr val="bg1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9999FF" mc:Ignorable="a14" a14:legacySpreadsheetColorIndex="24"/>
        </a:gs>
        <a:gs pos="100000">
          <a:srgbClr xmlns:mc="http://schemas.openxmlformats.org/markup-compatibility/2006" xmlns:a14="http://schemas.microsoft.com/office/drawing/2010/main" val="FF8080" mc:Ignorable="a14" a14:legacySpreadsheetColorIndex="29"/>
        </a:gs>
      </a:gsLst>
      <a:lin ang="2700000" scaled="1"/>
    </a:gra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400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866814650384E-2"/>
          <c:y val="0.16313213703099511"/>
          <c:w val="0.82775326504306723"/>
          <c:h val="0.63625242100210766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99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distribuciones!$Q$15:$Q$40</c:f>
              <c:numCache>
                <c:formatCode>0.00</c:formatCode>
                <c:ptCount val="26"/>
                <c:pt idx="0">
                  <c:v>6.5991666666666671</c:v>
                </c:pt>
                <c:pt idx="1">
                  <c:v>7.5908333333333324</c:v>
                </c:pt>
                <c:pt idx="2">
                  <c:v>8.5824999999999996</c:v>
                </c:pt>
                <c:pt idx="3">
                  <c:v>9.5741666666666667</c:v>
                </c:pt>
                <c:pt idx="4">
                  <c:v>10.565833333333334</c:v>
                </c:pt>
                <c:pt idx="5">
                  <c:v>11.557500000000001</c:v>
                </c:pt>
                <c:pt idx="6">
                  <c:v>12.549166666666668</c:v>
                </c:pt>
                <c:pt idx="7">
                  <c:v>13.540833333333335</c:v>
                </c:pt>
                <c:pt idx="8">
                  <c:v>14.532500000000002</c:v>
                </c:pt>
                <c:pt idx="9">
                  <c:v>15.52416666666667</c:v>
                </c:pt>
                <c:pt idx="10">
                  <c:v>16.515833333333337</c:v>
                </c:pt>
                <c:pt idx="11">
                  <c:v>17.507500000000004</c:v>
                </c:pt>
                <c:pt idx="12">
                  <c:v>18.499166666666671</c:v>
                </c:pt>
                <c:pt idx="13">
                  <c:v>19.490833333333338</c:v>
                </c:pt>
                <c:pt idx="14">
                  <c:v>20.482500000000005</c:v>
                </c:pt>
                <c:pt idx="15">
                  <c:v>21.474166666666672</c:v>
                </c:pt>
                <c:pt idx="16">
                  <c:v>22.46583333333334</c:v>
                </c:pt>
                <c:pt idx="17">
                  <c:v>23.457500000000007</c:v>
                </c:pt>
                <c:pt idx="18">
                  <c:v>24.449166666666674</c:v>
                </c:pt>
                <c:pt idx="19">
                  <c:v>25.440833333333341</c:v>
                </c:pt>
                <c:pt idx="20">
                  <c:v>26.432500000000008</c:v>
                </c:pt>
                <c:pt idx="21">
                  <c:v>27.424166666666675</c:v>
                </c:pt>
                <c:pt idx="22">
                  <c:v>28.415833333333342</c:v>
                </c:pt>
                <c:pt idx="23">
                  <c:v>29.40750000000001</c:v>
                </c:pt>
                <c:pt idx="24">
                  <c:v>30.399166666666677</c:v>
                </c:pt>
                <c:pt idx="25">
                  <c:v>31.395833333333343</c:v>
                </c:pt>
              </c:numCache>
            </c:numRef>
          </c:cat>
          <c:val>
            <c:numRef>
              <c:f>distribuciones!$T$15:$T$40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0.18</c:v>
                </c:pt>
                <c:pt idx="3">
                  <c:v>0.37</c:v>
                </c:pt>
                <c:pt idx="4">
                  <c:v>0.33</c:v>
                </c:pt>
                <c:pt idx="5">
                  <c:v>0.06</c:v>
                </c:pt>
                <c:pt idx="6">
                  <c:v>0.01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FA-4F83-B8B3-38A4021DEB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2303360"/>
        <c:axId val="92306432"/>
      </c:lineChart>
      <c:catAx>
        <c:axId val="9230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</a:t>
                </a:r>
                <a:r>
                  <a:rPr lang="es-CO" baseline="0"/>
                  <a:t> </a:t>
                </a:r>
                <a:r>
                  <a:rPr lang="es-CO"/>
                  <a:t>(m)</a:t>
                </a:r>
              </a:p>
            </c:rich>
          </c:tx>
          <c:layout>
            <c:manualLayout>
              <c:xMode val="edge"/>
              <c:yMode val="edge"/>
              <c:x val="0.4178737039455287"/>
              <c:y val="0.92782935747711581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306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0643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/>
              </a:solidFill>
              <a:prstDash val="solid"/>
            </a:ln>
          </c:spPr>
        </c:majorGridlines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30336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50000">
              <a:srgbClr xmlns:mc="http://schemas.openxmlformats.org/markup-compatibility/2006" xmlns:a14="http://schemas.microsoft.com/office/drawing/2010/main" val="00FFFF" mc:Ignorable="a14" a14:legacySpreadsheetColorIndex="35"/>
            </a:gs>
            <a:gs pos="100000">
              <a:srgbClr xmlns:mc="http://schemas.openxmlformats.org/markup-compatibility/2006" xmlns:a14="http://schemas.microsoft.com/office/drawing/2010/main" val="007676" mc:Ignorable="a14" a14:legacySpreadsheetColorIndex="35">
                <a:gamma/>
                <a:shade val="46275"/>
                <a:invGamma/>
              </a:srgb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400">
              <a:effectLst/>
            </a:endParaRP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420643729189789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0779562785945"/>
          <c:y val="0.17325116560275902"/>
          <c:w val="0.85226164381882441"/>
          <c:h val="0.64434765924911253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distribuciones!$O$15:$O$40</c:f>
              <c:numCache>
                <c:formatCode>0.000</c:formatCode>
                <c:ptCount val="26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  <c:pt idx="25">
                  <c:v>31.896666666666679</c:v>
                </c:pt>
              </c:numCache>
            </c:numRef>
          </c:cat>
          <c:val>
            <c:numRef>
              <c:f>distribuciones!$U$15:$U$40</c:f>
              <c:numCache>
                <c:formatCode>0.0%</c:formatCode>
                <c:ptCount val="26"/>
                <c:pt idx="0">
                  <c:v>0</c:v>
                </c:pt>
                <c:pt idx="1">
                  <c:v>0.04</c:v>
                </c:pt>
                <c:pt idx="2">
                  <c:v>0.22</c:v>
                </c:pt>
                <c:pt idx="3">
                  <c:v>0.59</c:v>
                </c:pt>
                <c:pt idx="4">
                  <c:v>0.91999999999999993</c:v>
                </c:pt>
                <c:pt idx="5">
                  <c:v>0.98</c:v>
                </c:pt>
                <c:pt idx="6">
                  <c:v>0.99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7-4F23-A381-1CE33A150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35520"/>
        <c:axId val="92877952"/>
      </c:lineChart>
      <c:catAx>
        <c:axId val="93035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4173140954495005"/>
              <c:y val="0.929853181076672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none"/>
        <c:minorTickMark val="out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87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877952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3035520"/>
        <c:crosses val="autoZero"/>
        <c:crossBetween val="between"/>
      </c:valAx>
      <c:spPr>
        <a:gradFill rotWithShape="0">
          <a:gsLst>
            <a:gs pos="0">
              <a:schemeClr val="bg1"/>
            </a:gs>
            <a:gs pos="100000">
              <a:srgbClr xmlns:mc="http://schemas.openxmlformats.org/markup-compatibility/2006" xmlns:a14="http://schemas.microsoft.com/office/drawing/2010/main" val="FFF1F1" mc:Ignorable="a14" a14:legacySpreadsheetColorIndex="10">
                <a:gamma/>
                <a:tint val="5490"/>
                <a:invGamma/>
              </a:srgb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Longitud de 100 varillas manufacturadas por la fábrica ABC</a:t>
            </a:r>
            <a:endParaRPr lang="es-CO" sz="1200">
              <a:effectLst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800" b="0" i="0" baseline="0">
                <a:effectLst/>
              </a:rPr>
              <a:t>FUENTE: DEPARTAMENTO DE CALIDAD</a:t>
            </a:r>
            <a:endParaRPr lang="es-CO" sz="1200">
              <a:effectLst/>
            </a:endParaRPr>
          </a:p>
        </c:rich>
      </c:tx>
      <c:layout>
        <c:manualLayout>
          <c:xMode val="edge"/>
          <c:yMode val="edge"/>
          <c:x val="0.19644839067702552"/>
          <c:y val="1.9575856443719411E-2"/>
        </c:manualLayout>
      </c:layout>
      <c:overlay val="0"/>
      <c:spPr>
        <a:solidFill>
          <a:schemeClr val="bg1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71698113207544E-2"/>
          <c:y val="0.15334420880913541"/>
          <c:w val="0.87230638428181306"/>
          <c:h val="0.64948717940545897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FF66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distribuciones!$N$16:$N$40</c:f>
              <c:numCache>
                <c:formatCode>0.000</c:formatCode>
                <c:ptCount val="25"/>
                <c:pt idx="0">
                  <c:v>7.0949999999999998</c:v>
                </c:pt>
                <c:pt idx="1">
                  <c:v>8.086666666666666</c:v>
                </c:pt>
                <c:pt idx="2">
                  <c:v>9.0783333333333331</c:v>
                </c:pt>
                <c:pt idx="3">
                  <c:v>10.07</c:v>
                </c:pt>
                <c:pt idx="4">
                  <c:v>11.061666666666667</c:v>
                </c:pt>
                <c:pt idx="5">
                  <c:v>12.053333333333335</c:v>
                </c:pt>
                <c:pt idx="6">
                  <c:v>13.045000000000002</c:v>
                </c:pt>
                <c:pt idx="7">
                  <c:v>14.036666666666669</c:v>
                </c:pt>
                <c:pt idx="8">
                  <c:v>15.028333333333336</c:v>
                </c:pt>
                <c:pt idx="9">
                  <c:v>16.020000000000003</c:v>
                </c:pt>
                <c:pt idx="10">
                  <c:v>17.01166666666667</c:v>
                </c:pt>
                <c:pt idx="11">
                  <c:v>18.003333333333337</c:v>
                </c:pt>
                <c:pt idx="12">
                  <c:v>18.995000000000005</c:v>
                </c:pt>
                <c:pt idx="13">
                  <c:v>19.986666666666672</c:v>
                </c:pt>
                <c:pt idx="14">
                  <c:v>20.978333333333339</c:v>
                </c:pt>
                <c:pt idx="15">
                  <c:v>21.970000000000006</c:v>
                </c:pt>
                <c:pt idx="16">
                  <c:v>22.961666666666673</c:v>
                </c:pt>
                <c:pt idx="17">
                  <c:v>23.95333333333334</c:v>
                </c:pt>
                <c:pt idx="18">
                  <c:v>24.945000000000007</c:v>
                </c:pt>
                <c:pt idx="19">
                  <c:v>25.936666666666675</c:v>
                </c:pt>
                <c:pt idx="20">
                  <c:v>26.928333333333342</c:v>
                </c:pt>
                <c:pt idx="21">
                  <c:v>27.920000000000009</c:v>
                </c:pt>
                <c:pt idx="22">
                  <c:v>28.911666666666676</c:v>
                </c:pt>
                <c:pt idx="23">
                  <c:v>29.903333333333343</c:v>
                </c:pt>
                <c:pt idx="24">
                  <c:v>30.89500000000001</c:v>
                </c:pt>
              </c:numCache>
            </c:numRef>
          </c:cat>
          <c:val>
            <c:numRef>
              <c:f>distribuciones!$V$16:$V$40</c:f>
              <c:numCache>
                <c:formatCode>0</c:formatCode>
                <c:ptCount val="25"/>
                <c:pt idx="0">
                  <c:v>100</c:v>
                </c:pt>
                <c:pt idx="1">
                  <c:v>96</c:v>
                </c:pt>
                <c:pt idx="2">
                  <c:v>78</c:v>
                </c:pt>
                <c:pt idx="3">
                  <c:v>41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E5-496E-9A06-7FA694EC8B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marker val="1"/>
        <c:smooth val="0"/>
        <c:axId val="93013504"/>
        <c:axId val="93015424"/>
      </c:lineChart>
      <c:catAx>
        <c:axId val="93013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6170921198668147"/>
              <c:y val="0.94453507340946163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2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301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0154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NUMERO DE VARILLAS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37683523654159867"/>
            </c:manualLayout>
          </c:layout>
          <c:overlay val="0"/>
          <c:spPr>
            <a:solidFill>
              <a:schemeClr val="bg1"/>
            </a:solidFill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3013504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9B9BC2" mc:Ignorable="a14" a14:legacySpreadsheetColorIndex="31">
                <a:gamma/>
                <a:shade val="76078"/>
                <a:invGamma/>
              </a:srgbClr>
            </a:gs>
            <a:gs pos="50000">
              <a:schemeClr val="bg1">
                <a:lumMod val="95000"/>
              </a:schemeClr>
            </a:gs>
            <a:gs pos="100000">
              <a:srgbClr xmlns:mc="http://schemas.openxmlformats.org/markup-compatibility/2006" xmlns:a14="http://schemas.microsoft.com/office/drawing/2010/main" val="9B9BC2" mc:Ignorable="a14" a14:legacySpreadsheetColorIndex="31">
                <a:gamma/>
                <a:shade val="76078"/>
                <a:invGamma/>
              </a:srgbClr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chemeClr val="accent2">
            <a:lumMod val="20000"/>
            <a:lumOff val="80000"/>
          </a:schemeClr>
        </a:gs>
        <a:gs pos="50000">
          <a:srgbClr xmlns:mc="http://schemas.openxmlformats.org/markup-compatibility/2006" xmlns:a14="http://schemas.microsoft.com/office/drawing/2010/main" val="FF6600" mc:Ignorable="a14" a14:legacySpreadsheetColorIndex="53"/>
        </a:gs>
        <a:gs pos="100000">
          <a:schemeClr val="accent4">
            <a:lumMod val="40000"/>
            <a:lumOff val="60000"/>
          </a:schemeClr>
        </a:gs>
      </a:gsLst>
      <a:lin ang="189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>
    <tabColor rgb="FFFFC000"/>
  </sheetPr>
  <sheetViews>
    <sheetView tabSelected="1" zoomScale="69" workbookViewId="0"/>
  </sheetViews>
  <pageMargins left="0.75" right="0.75" top="1" bottom="1" header="0" footer="0"/>
  <headerFooter alignWithMargins="0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rgb="FF99CCFF"/>
  </sheetPr>
  <sheetViews>
    <sheetView zoomScale="115" workbookViewId="0"/>
  </sheetViews>
  <pageMargins left="0.75" right="0.75" top="1" bottom="1" header="0.5" footer="0.5"/>
  <headerFooter alignWithMargins="0">
    <oddHeader>&amp;A</oddHeader>
    <oddFooter>Page &amp;P</oddFooter>
  </headerFooter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>
    <tabColor rgb="FF00FF00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>
    <tabColor rgb="FF00FF00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rgb="FF00FF00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00FF00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>
    <tabColor rgb="FF00FF00"/>
  </sheetPr>
  <sheetViews>
    <sheetView workbookViewId="0"/>
  </sheetViews>
  <pageMargins left="0.75" right="0.75" top="1" bottom="1" header="0" footer="0"/>
  <headerFooter alignWithMargins="0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200-000000000000}">
  <sheetPr>
    <tabColor rgb="FF00FF00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300-000000000000}">
  <sheetPr>
    <tabColor rgb="FF00FF00"/>
  </sheetPr>
  <sheetViews>
    <sheetView workbookViewId="0"/>
  </sheetViews>
  <pageMargins left="0.75" right="0.75" top="1" bottom="1" header="0.5" footer="0.5"/>
  <headerFooter alignWithMargins="0">
    <oddHeader>&amp;A</oddHeader>
    <oddFooter>Page &amp;P</oddFooter>
  </headerFooter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rgb="FFFFC000"/>
  </sheetPr>
  <sheetViews>
    <sheetView workbookViewId="0"/>
  </sheetViews>
  <pageMargins left="0.75" right="0.75" top="1" bottom="1" header="0" footer="0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>
    <tabColor rgb="FFFFC000"/>
  </sheetPr>
  <sheetViews>
    <sheetView zoomScale="115" workbookViewId="0"/>
  </sheetViews>
  <pageMargins left="0.75" right="0.75" top="1" bottom="1" header="0.5" footer="0.5"/>
  <headerFooter alignWithMargins="0">
    <oddHeader>&amp;A</oddHeader>
    <oddFooter>Page &amp;P</oddFooter>
  </headerFooter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>
    <tabColor rgb="FF99CCFF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rgb="FF99CCFF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rgb="FF99CCFF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rgb="FF99CCFF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rgb="FF99CCFF"/>
  </sheetPr>
  <sheetViews>
    <sheetView workbookViewId="0"/>
  </sheetViews>
  <pageMargins left="0.75" right="0.75" top="1" bottom="1" header="0" footer="0"/>
  <headerFooter alignWithMargins="0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rgb="FF99CCFF"/>
  </sheetPr>
  <sheetViews>
    <sheetView zoomScale="115" workbookViewId="0"/>
  </sheetViews>
  <pageMargins left="0.75" right="0.75" top="1" bottom="1" header="0" footer="0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8281</xdr:colOff>
      <xdr:row>42</xdr:row>
      <xdr:rowOff>207062</xdr:rowOff>
    </xdr:from>
    <xdr:to>
      <xdr:col>37</xdr:col>
      <xdr:colOff>547917</xdr:colOff>
      <xdr:row>56</xdr:row>
      <xdr:rowOff>81249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146A42-E705-4506-9547-DF778A0C2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18216" y="8953497"/>
          <a:ext cx="6428571" cy="2657143"/>
        </a:xfrm>
        <a:prstGeom prst="rect">
          <a:avLst/>
        </a:prstGeom>
      </xdr:spPr>
    </xdr:pic>
    <xdr:clientData/>
  </xdr:twoCellAnchor>
  <xdr:absoluteAnchor>
    <xdr:pos x="12125736" y="9069456"/>
    <xdr:ext cx="8497957" cy="6096000"/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81B759D-3311-4692-BB48-6309B59EB1E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C66817-3501-4632-B21B-80BB6DCD38A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6D94AB-57B8-4E3F-940A-AA056EF6CF6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D2234AF-D6AB-4E21-BB93-53E142C83A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431F93-6ED6-4ADA-A74D-3BE1D0DFF8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0A7E83-9480-40DE-9408-3B9601B937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96B0C9-3274-46B6-A22C-433547D08AE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B2B17DB-3936-4630-948D-065328A6014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AE39264-C2C5-404E-9DDE-FC1EF640B5D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437255-CBD8-4756-8298-501CD907AEE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2935" cy="630858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24C6BB-5279-419B-AB4F-E95D827A7D4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AD6D73-E7DD-4735-9237-67C2BEAB49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AB1606A-FEF1-46A7-B4D1-016EBB61A4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B6FE920-00E7-4C3B-AB48-4E268DE69AC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673A1F-0AD2-4AD9-94C5-56ADC666D2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A32DAAC-8A02-4B9F-9F1B-19AF2DF5772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FE11F1B-9064-4642-AD05-61C75C9D6B9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3E101B-AE4B-4128-AD53-3A022225498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135"/>
  <sheetViews>
    <sheetView topLeftCell="A43" zoomScale="115" zoomScaleNormal="115" workbookViewId="0">
      <selection activeCell="A7" sqref="A7"/>
    </sheetView>
  </sheetViews>
  <sheetFormatPr baseColWidth="10" defaultColWidth="11.42578125" defaultRowHeight="12.75" x14ac:dyDescent="0.2"/>
  <cols>
    <col min="1" max="1" width="5.7109375" style="4" customWidth="1"/>
    <col min="2" max="2" width="9" style="4" customWidth="1"/>
    <col min="3" max="4" width="7.140625" style="4" customWidth="1"/>
    <col min="5" max="5" width="6.85546875" style="4" customWidth="1"/>
    <col min="6" max="6" width="7.42578125" style="4" customWidth="1"/>
    <col min="7" max="8" width="6.85546875" style="4" customWidth="1"/>
    <col min="9" max="9" width="8.140625" style="4" customWidth="1"/>
    <col min="10" max="10" width="6" style="4" customWidth="1"/>
    <col min="11" max="12" width="11.42578125" style="3"/>
    <col min="13" max="16" width="11.42578125" style="3" customWidth="1"/>
    <col min="17" max="17" width="14.28515625" style="3" customWidth="1"/>
    <col min="18" max="18" width="17.42578125" style="3" customWidth="1"/>
    <col min="19" max="19" width="15" style="3" customWidth="1"/>
    <col min="20" max="20" width="15.7109375" style="3" customWidth="1"/>
    <col min="21" max="21" width="16.140625" style="3" customWidth="1"/>
    <col min="22" max="22" width="14.140625" style="3" customWidth="1"/>
    <col min="23" max="23" width="17.42578125" style="3" customWidth="1"/>
    <col min="24" max="24" width="6" style="4" customWidth="1"/>
    <col min="25" max="27" width="15" style="3" customWidth="1"/>
    <col min="28" max="28" width="10.85546875" style="3" customWidth="1"/>
    <col min="29" max="30" width="10.85546875" customWidth="1"/>
    <col min="31" max="34" width="10.85546875" style="3" customWidth="1"/>
    <col min="35" max="43" width="15" style="3" customWidth="1"/>
    <col min="44" max="44" width="14.140625" style="3" customWidth="1"/>
    <col min="45" max="45" width="10.7109375" style="3" bestFit="1" customWidth="1"/>
    <col min="46" max="46" width="9.140625" style="3" customWidth="1"/>
    <col min="47" max="47" width="10.42578125" style="3" customWidth="1"/>
    <col min="48" max="16384" width="11.42578125" style="3"/>
  </cols>
  <sheetData>
    <row r="1" spans="1:47" ht="20.25" customHeight="1" thickTop="1" x14ac:dyDescent="0.3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76"/>
      <c r="Q1" s="137" t="s">
        <v>1</v>
      </c>
      <c r="R1" s="137"/>
      <c r="S1" s="137"/>
      <c r="T1" s="137"/>
      <c r="U1" s="137"/>
      <c r="V1" s="137"/>
      <c r="W1" s="138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132" t="s">
        <v>2</v>
      </c>
      <c r="AR1" s="92" t="s">
        <v>3</v>
      </c>
      <c r="AS1" s="92" t="s">
        <v>4</v>
      </c>
      <c r="AT1" s="92" t="s">
        <v>5</v>
      </c>
      <c r="AU1" s="92" t="s">
        <v>6</v>
      </c>
    </row>
    <row r="2" spans="1:47" s="41" customFormat="1" ht="24" customHeight="1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76"/>
      <c r="Q2" s="40" t="s">
        <v>7</v>
      </c>
      <c r="R2" s="56" t="s">
        <v>8</v>
      </c>
      <c r="S2" s="57" t="s">
        <v>9</v>
      </c>
      <c r="T2" s="56" t="s">
        <v>10</v>
      </c>
      <c r="U2" s="57" t="s">
        <v>11</v>
      </c>
      <c r="V2" s="57" t="s">
        <v>12</v>
      </c>
      <c r="W2" s="57" t="s">
        <v>13</v>
      </c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133"/>
      <c r="AR2" s="93"/>
      <c r="AS2" s="93"/>
      <c r="AT2" s="93"/>
      <c r="AU2" s="93"/>
    </row>
    <row r="3" spans="1:47" s="41" customFormat="1" ht="20.25" x14ac:dyDescent="0.3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76"/>
      <c r="Q3" s="135" t="s">
        <v>14</v>
      </c>
      <c r="R3" s="135"/>
      <c r="S3" s="135"/>
      <c r="T3" s="135"/>
      <c r="U3" s="135"/>
      <c r="V3" s="135"/>
      <c r="W3" s="136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133"/>
      <c r="AR3" s="93"/>
      <c r="AS3" s="93"/>
      <c r="AT3" s="93"/>
      <c r="AU3" s="93"/>
    </row>
    <row r="4" spans="1:47" s="53" customFormat="1" ht="25.5" x14ac:dyDescent="0.2">
      <c r="A4" s="125" t="s">
        <v>15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6"/>
      <c r="P4" s="44"/>
      <c r="Q4" s="52" t="s">
        <v>16</v>
      </c>
      <c r="R4" s="196" t="s">
        <v>17</v>
      </c>
      <c r="S4" s="55" t="s">
        <v>18</v>
      </c>
      <c r="T4" s="196" t="s">
        <v>19</v>
      </c>
      <c r="U4" s="55" t="s">
        <v>20</v>
      </c>
      <c r="V4" s="55" t="s">
        <v>141</v>
      </c>
      <c r="W4" s="55" t="s">
        <v>21</v>
      </c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133"/>
      <c r="AR4" s="93"/>
      <c r="AS4" s="93"/>
      <c r="AT4" s="93"/>
      <c r="AU4" s="93"/>
    </row>
    <row r="5" spans="1:47" s="53" customFormat="1" ht="38.25" x14ac:dyDescent="0.2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6"/>
      <c r="P5" s="44"/>
      <c r="Q5" s="54" t="s">
        <v>22</v>
      </c>
      <c r="R5" s="200" t="s">
        <v>23</v>
      </c>
      <c r="S5" s="197" t="s">
        <v>24</v>
      </c>
      <c r="T5" s="201" t="s">
        <v>25</v>
      </c>
      <c r="U5" s="198" t="s">
        <v>26</v>
      </c>
      <c r="V5" s="198" t="s">
        <v>27</v>
      </c>
      <c r="W5" s="199" t="s">
        <v>28</v>
      </c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134"/>
      <c r="AR5" s="93"/>
      <c r="AS5" s="93"/>
      <c r="AT5" s="93"/>
      <c r="AU5" s="93"/>
    </row>
    <row r="6" spans="1:47" s="53" customFormat="1" ht="26.25" thickBot="1" x14ac:dyDescent="0.25">
      <c r="A6" s="125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6"/>
      <c r="P6" s="44"/>
      <c r="Q6" s="60" t="s">
        <v>29</v>
      </c>
      <c r="R6" s="202" t="s">
        <v>30</v>
      </c>
      <c r="S6" s="203" t="s">
        <v>31</v>
      </c>
      <c r="T6" s="202" t="s">
        <v>32</v>
      </c>
      <c r="U6" s="203" t="s">
        <v>33</v>
      </c>
      <c r="V6" s="203" t="s">
        <v>34</v>
      </c>
      <c r="W6" s="203" t="s">
        <v>35</v>
      </c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1">
        <f>$AQ$13/$R$13</f>
        <v>-7.39999999999398E-3</v>
      </c>
      <c r="AR6" s="61">
        <f>$AR$13/$R$13</f>
        <v>0.82124199999999914</v>
      </c>
      <c r="AS6" s="61">
        <f>$AS$13/$R$13</f>
        <v>1.0743239544444456</v>
      </c>
      <c r="AT6" s="61">
        <f>$AS$13/($R$13-1)</f>
        <v>1.085175711560046</v>
      </c>
      <c r="AU6" s="61">
        <f>SQRT(AS6)</f>
        <v>1.0364959982771016</v>
      </c>
    </row>
    <row r="7" spans="1:47" ht="26.25" customHeight="1" thickTop="1" x14ac:dyDescent="0.2">
      <c r="A7" s="46"/>
      <c r="B7" s="46"/>
      <c r="C7" s="127" t="s">
        <v>36</v>
      </c>
      <c r="D7" s="128"/>
      <c r="E7" s="46"/>
      <c r="F7" s="46"/>
      <c r="G7" s="46"/>
      <c r="H7" s="46"/>
      <c r="I7" s="46"/>
      <c r="J7" s="170" t="s">
        <v>37</v>
      </c>
      <c r="K7" s="171"/>
      <c r="L7" s="171"/>
      <c r="M7" s="171"/>
      <c r="N7" s="171"/>
      <c r="O7" s="171"/>
      <c r="P7" s="171"/>
      <c r="Q7" s="171"/>
      <c r="R7" s="171"/>
      <c r="S7" s="172"/>
      <c r="T7" s="172"/>
      <c r="U7" s="172"/>
      <c r="V7" s="172"/>
      <c r="W7" s="172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 t="s">
        <v>38</v>
      </c>
      <c r="AK7" s="70"/>
      <c r="AL7" s="70"/>
      <c r="AM7" s="70"/>
      <c r="AN7" s="70"/>
      <c r="AO7" s="70"/>
      <c r="AP7" s="70"/>
      <c r="AQ7" s="129" t="s">
        <v>39</v>
      </c>
      <c r="AR7" s="129"/>
      <c r="AS7" s="129"/>
      <c r="AT7" s="129"/>
      <c r="AU7" s="129"/>
    </row>
    <row r="8" spans="1:47" ht="12.75" customHeight="1" thickBot="1" x14ac:dyDescent="0.25">
      <c r="A8" s="46"/>
      <c r="B8" s="46"/>
      <c r="C8" s="47">
        <f>SUM(C15:C114)</f>
        <v>983.93999999999949</v>
      </c>
      <c r="D8" s="47">
        <f>SUM(D15:D114)</f>
        <v>983.94</v>
      </c>
      <c r="E8" s="46"/>
      <c r="F8" s="46"/>
      <c r="G8" s="46"/>
      <c r="H8" s="46"/>
      <c r="I8" s="46"/>
      <c r="J8" s="80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79"/>
      <c r="Y8" s="183" t="s">
        <v>111</v>
      </c>
      <c r="Z8" s="83" t="s">
        <v>113</v>
      </c>
      <c r="AA8" s="83" t="s">
        <v>112</v>
      </c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130"/>
      <c r="AR8" s="130"/>
      <c r="AS8" s="130"/>
      <c r="AT8" s="130"/>
      <c r="AU8" s="130"/>
    </row>
    <row r="9" spans="1:47" ht="22.5" customHeight="1" thickTop="1" x14ac:dyDescent="0.2">
      <c r="A9" s="145" t="s">
        <v>40</v>
      </c>
      <c r="B9" s="147" t="s">
        <v>95</v>
      </c>
      <c r="C9" s="149" t="s">
        <v>41</v>
      </c>
      <c r="D9" s="151" t="s">
        <v>42</v>
      </c>
      <c r="E9" s="132" t="s">
        <v>104</v>
      </c>
      <c r="F9" s="132" t="s">
        <v>105</v>
      </c>
      <c r="G9" s="153" t="s">
        <v>106</v>
      </c>
      <c r="H9" s="156" t="s">
        <v>107</v>
      </c>
      <c r="I9" s="142" t="s">
        <v>43</v>
      </c>
      <c r="J9" s="99" t="s">
        <v>44</v>
      </c>
      <c r="K9" s="101" t="s">
        <v>109</v>
      </c>
      <c r="L9" s="102"/>
      <c r="M9" s="103"/>
      <c r="N9" s="110" t="s">
        <v>110</v>
      </c>
      <c r="O9" s="111"/>
      <c r="P9" s="112"/>
      <c r="Q9" s="119" t="s">
        <v>108</v>
      </c>
      <c r="R9" s="163" t="s">
        <v>45</v>
      </c>
      <c r="S9" s="123" t="s">
        <v>46</v>
      </c>
      <c r="T9" s="160" t="s">
        <v>47</v>
      </c>
      <c r="U9" s="121" t="s">
        <v>48</v>
      </c>
      <c r="V9" s="121" t="s">
        <v>49</v>
      </c>
      <c r="W9" s="121" t="s">
        <v>50</v>
      </c>
      <c r="X9" s="168" t="s">
        <v>44</v>
      </c>
      <c r="Y9" s="173">
        <f>SUM(C15:C114)/R13</f>
        <v>9.8393999999999942</v>
      </c>
      <c r="Z9" s="185"/>
      <c r="AA9" s="186"/>
      <c r="AB9" s="184"/>
      <c r="AC9" s="184"/>
      <c r="AD9" s="184"/>
      <c r="AE9" s="184"/>
      <c r="AF9" s="184"/>
      <c r="AG9" s="184"/>
      <c r="AH9" s="184" t="s">
        <v>121</v>
      </c>
      <c r="AI9" s="184" t="s">
        <v>121</v>
      </c>
      <c r="AJ9" s="5" t="s">
        <v>102</v>
      </c>
      <c r="AK9" s="5" t="s">
        <v>129</v>
      </c>
      <c r="AL9" s="83" t="s">
        <v>122</v>
      </c>
      <c r="AM9" s="83" t="s">
        <v>123</v>
      </c>
      <c r="AN9" s="83" t="s">
        <v>124</v>
      </c>
      <c r="AO9" s="83" t="s">
        <v>125</v>
      </c>
      <c r="AP9" s="83"/>
      <c r="AQ9" s="74" t="s">
        <v>53</v>
      </c>
      <c r="AR9" s="74" t="s">
        <v>54</v>
      </c>
      <c r="AS9" s="74" t="s">
        <v>55</v>
      </c>
    </row>
    <row r="10" spans="1:47" ht="22.5" x14ac:dyDescent="0.2">
      <c r="A10" s="146"/>
      <c r="B10" s="148"/>
      <c r="C10" s="150"/>
      <c r="D10" s="152"/>
      <c r="E10" s="133"/>
      <c r="F10" s="166"/>
      <c r="G10" s="154"/>
      <c r="H10" s="157"/>
      <c r="I10" s="143"/>
      <c r="J10" s="100"/>
      <c r="K10" s="104"/>
      <c r="L10" s="105"/>
      <c r="M10" s="106"/>
      <c r="N10" s="113"/>
      <c r="O10" s="114"/>
      <c r="P10" s="115"/>
      <c r="Q10" s="120"/>
      <c r="R10" s="189" t="s">
        <v>136</v>
      </c>
      <c r="S10" s="124"/>
      <c r="T10" s="161"/>
      <c r="U10" s="122"/>
      <c r="V10" s="122"/>
      <c r="W10" s="122"/>
      <c r="X10" s="169"/>
      <c r="Y10" s="83" t="s">
        <v>51</v>
      </c>
      <c r="Z10" s="83" t="s">
        <v>130</v>
      </c>
      <c r="AA10" s="83" t="s">
        <v>131</v>
      </c>
      <c r="AB10" s="5"/>
      <c r="AC10" s="5"/>
      <c r="AD10" s="5"/>
      <c r="AE10" s="5"/>
      <c r="AF10" s="5"/>
      <c r="AG10" s="5"/>
      <c r="AH10" s="5" t="s">
        <v>126</v>
      </c>
      <c r="AI10" s="182">
        <v>5</v>
      </c>
      <c r="AJ10" s="179">
        <f>$G$15</f>
        <v>100</v>
      </c>
      <c r="AK10" s="180">
        <v>1</v>
      </c>
      <c r="AL10" s="181" t="s">
        <v>132</v>
      </c>
      <c r="AM10" s="181" t="s">
        <v>133</v>
      </c>
      <c r="AN10" s="181" t="s">
        <v>134</v>
      </c>
      <c r="AO10" s="181" t="s">
        <v>135</v>
      </c>
      <c r="AP10" s="5"/>
      <c r="AQ10" s="75" t="s">
        <v>56</v>
      </c>
      <c r="AR10" s="75"/>
      <c r="AS10" s="75"/>
    </row>
    <row r="11" spans="1:47" ht="22.5" x14ac:dyDescent="0.2">
      <c r="A11" s="146"/>
      <c r="B11" s="148"/>
      <c r="C11" s="150"/>
      <c r="D11" s="152"/>
      <c r="E11" s="133"/>
      <c r="F11" s="166"/>
      <c r="G11" s="154"/>
      <c r="H11" s="157"/>
      <c r="I11" s="143"/>
      <c r="J11" s="100"/>
      <c r="K11" s="104"/>
      <c r="L11" s="105"/>
      <c r="M11" s="106"/>
      <c r="N11" s="113"/>
      <c r="O11" s="114"/>
      <c r="P11" s="115"/>
      <c r="Q11" s="120"/>
      <c r="R11" s="189">
        <f>MAX(R15:R40)</f>
        <v>37</v>
      </c>
      <c r="S11" s="124"/>
      <c r="T11" s="162"/>
      <c r="U11" s="122"/>
      <c r="V11" s="122"/>
      <c r="W11" s="122"/>
      <c r="X11" s="169"/>
      <c r="Y11" s="193">
        <f>Y13/R13</f>
        <v>9.8320000000000007</v>
      </c>
      <c r="Z11" s="193">
        <f>MAX(AH15:AH40)</f>
        <v>9.894275362318842</v>
      </c>
      <c r="AA11" s="188">
        <f>IF(AJ12=50%,AP13,"N/A")</f>
        <v>9.8337837837837849</v>
      </c>
      <c r="AB11" s="6"/>
      <c r="AC11" s="6"/>
      <c r="AD11" s="6"/>
      <c r="AE11" s="6"/>
      <c r="AF11" s="6"/>
      <c r="AG11" s="6"/>
      <c r="AH11" s="6" t="s">
        <v>127</v>
      </c>
      <c r="AI11" s="182">
        <v>10</v>
      </c>
      <c r="AJ11" s="141" t="s">
        <v>114</v>
      </c>
      <c r="AK11" s="180">
        <v>2</v>
      </c>
      <c r="AL11" s="181">
        <v>4</v>
      </c>
      <c r="AM11" s="181">
        <v>5</v>
      </c>
      <c r="AN11" s="181">
        <v>10</v>
      </c>
      <c r="AO11" s="181">
        <v>100</v>
      </c>
      <c r="AP11" s="6"/>
      <c r="AQ11" s="75" t="s">
        <v>57</v>
      </c>
      <c r="AR11" s="75" t="s">
        <v>58</v>
      </c>
      <c r="AS11" s="75" t="s">
        <v>59</v>
      </c>
    </row>
    <row r="12" spans="1:47" x14ac:dyDescent="0.2">
      <c r="A12" s="146"/>
      <c r="B12" s="148"/>
      <c r="C12" s="150"/>
      <c r="D12" s="152"/>
      <c r="E12" s="133"/>
      <c r="F12" s="166"/>
      <c r="G12" s="154"/>
      <c r="H12" s="157"/>
      <c r="I12" s="143"/>
      <c r="J12" s="100"/>
      <c r="K12" s="107"/>
      <c r="L12" s="108"/>
      <c r="M12" s="109"/>
      <c r="N12" s="116"/>
      <c r="O12" s="117"/>
      <c r="P12" s="118"/>
      <c r="Q12" s="120"/>
      <c r="R12" s="164" t="s">
        <v>102</v>
      </c>
      <c r="S12" s="124"/>
      <c r="T12" s="85" t="s">
        <v>60</v>
      </c>
      <c r="U12" s="122"/>
      <c r="V12" s="122"/>
      <c r="W12" s="122"/>
      <c r="X12" s="169"/>
      <c r="Y12" s="84" t="s">
        <v>60</v>
      </c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187">
        <f>(AI10/AI11)</f>
        <v>0.5</v>
      </c>
      <c r="AK12" s="84"/>
      <c r="AL12" s="84"/>
      <c r="AM12" s="84"/>
      <c r="AN12" s="84"/>
      <c r="AO12" s="84"/>
      <c r="AP12" s="84"/>
      <c r="AQ12" s="75" t="s">
        <v>60</v>
      </c>
      <c r="AR12" s="75" t="s">
        <v>60</v>
      </c>
      <c r="AS12" s="75" t="s">
        <v>60</v>
      </c>
    </row>
    <row r="13" spans="1:47" ht="25.5" x14ac:dyDescent="0.2">
      <c r="A13" s="146"/>
      <c r="B13" s="148"/>
      <c r="C13" s="150"/>
      <c r="D13" s="152"/>
      <c r="E13" s="133"/>
      <c r="F13" s="166"/>
      <c r="G13" s="154"/>
      <c r="H13" s="157"/>
      <c r="I13" s="143"/>
      <c r="J13" s="100"/>
      <c r="K13" s="39" t="s">
        <v>100</v>
      </c>
      <c r="L13" s="39" t="s">
        <v>101</v>
      </c>
      <c r="M13" s="39" t="s">
        <v>97</v>
      </c>
      <c r="N13" s="38" t="s">
        <v>61</v>
      </c>
      <c r="O13" s="38" t="s">
        <v>62</v>
      </c>
      <c r="P13" s="38" t="s">
        <v>99</v>
      </c>
      <c r="Q13" s="120"/>
      <c r="R13" s="58">
        <f>SUM(R16:R40)</f>
        <v>100</v>
      </c>
      <c r="S13" s="124"/>
      <c r="T13" s="59">
        <f>SUM(T16:T28)</f>
        <v>1</v>
      </c>
      <c r="U13" s="122"/>
      <c r="V13" s="122"/>
      <c r="W13" s="122"/>
      <c r="X13" s="169"/>
      <c r="Y13" s="174">
        <f>SUM(Y15:Y40)</f>
        <v>983.2</v>
      </c>
      <c r="Z13" s="5" t="s">
        <v>119</v>
      </c>
      <c r="AA13" s="5" t="s">
        <v>120</v>
      </c>
      <c r="AB13" s="178" t="s">
        <v>115</v>
      </c>
      <c r="AC13" s="178"/>
      <c r="AD13" s="178"/>
      <c r="AE13" s="178"/>
      <c r="AF13" s="178"/>
      <c r="AG13" s="178"/>
      <c r="AH13" s="178"/>
      <c r="AI13" s="5" t="s">
        <v>117</v>
      </c>
      <c r="AJ13" s="5" t="s">
        <v>116</v>
      </c>
      <c r="AK13" s="5"/>
      <c r="AL13" s="5"/>
      <c r="AM13" s="5"/>
      <c r="AN13" s="5"/>
      <c r="AO13" s="5" t="s">
        <v>52</v>
      </c>
      <c r="AP13" s="165">
        <f>SUM(AP16:AP40)</f>
        <v>9.8337837837837849</v>
      </c>
      <c r="AQ13" s="7">
        <f>SUM(AQ15:AQ40)</f>
        <v>-0.73999999999939803</v>
      </c>
      <c r="AR13" s="8">
        <f>SUM(AR15:AR40)</f>
        <v>82.124199999999917</v>
      </c>
      <c r="AS13" s="8">
        <f>SUM(AS15:AS40)</f>
        <v>107.43239544444455</v>
      </c>
    </row>
    <row r="14" spans="1:47" ht="20.25" x14ac:dyDescent="0.2">
      <c r="A14" s="146"/>
      <c r="B14" s="148"/>
      <c r="C14" s="150"/>
      <c r="D14" s="152"/>
      <c r="E14" s="134"/>
      <c r="F14" s="167"/>
      <c r="G14" s="155"/>
      <c r="H14" s="158"/>
      <c r="I14" s="144"/>
      <c r="J14" s="159" t="s">
        <v>96</v>
      </c>
      <c r="K14" s="39" t="s">
        <v>82</v>
      </c>
      <c r="L14" s="39" t="s">
        <v>83</v>
      </c>
      <c r="M14" s="39" t="s">
        <v>84</v>
      </c>
      <c r="N14" s="38" t="s">
        <v>85</v>
      </c>
      <c r="O14" s="38" t="s">
        <v>86</v>
      </c>
      <c r="P14" s="38" t="s">
        <v>98</v>
      </c>
      <c r="Q14" s="82" t="s">
        <v>87</v>
      </c>
      <c r="R14" s="139" t="s">
        <v>88</v>
      </c>
      <c r="S14" s="86" t="s">
        <v>89</v>
      </c>
      <c r="T14" s="140" t="s">
        <v>90</v>
      </c>
      <c r="U14" s="85" t="s">
        <v>91</v>
      </c>
      <c r="V14" s="85"/>
      <c r="W14" s="85"/>
      <c r="X14" s="87"/>
      <c r="Y14" s="141" t="s">
        <v>92</v>
      </c>
      <c r="Z14" s="6" t="s">
        <v>82</v>
      </c>
      <c r="AA14" s="6" t="s">
        <v>93</v>
      </c>
      <c r="AB14" s="177" t="s">
        <v>96</v>
      </c>
      <c r="AC14" s="177" t="s">
        <v>137</v>
      </c>
      <c r="AD14" s="177" t="s">
        <v>142</v>
      </c>
      <c r="AE14" s="177" t="s">
        <v>138</v>
      </c>
      <c r="AF14" s="177" t="s">
        <v>143</v>
      </c>
      <c r="AG14" s="177" t="s">
        <v>139</v>
      </c>
      <c r="AH14" s="177" t="s">
        <v>139</v>
      </c>
      <c r="AI14" s="6" t="s">
        <v>94</v>
      </c>
      <c r="AJ14" s="6" t="s">
        <v>89</v>
      </c>
      <c r="AK14" s="6" t="s">
        <v>80</v>
      </c>
      <c r="AL14" s="6" t="s">
        <v>81</v>
      </c>
      <c r="AM14" s="6" t="s">
        <v>128</v>
      </c>
      <c r="AN14" s="6" t="s">
        <v>103</v>
      </c>
      <c r="AO14" s="6" t="s">
        <v>118</v>
      </c>
      <c r="AP14" s="7"/>
      <c r="AQ14" s="7"/>
      <c r="AR14" s="8"/>
      <c r="AS14" s="8"/>
    </row>
    <row r="15" spans="1:47" ht="13.5" thickBot="1" x14ac:dyDescent="0.25">
      <c r="A15" s="9">
        <v>1</v>
      </c>
      <c r="B15" s="2">
        <v>7.1</v>
      </c>
      <c r="C15" s="2">
        <v>7.1</v>
      </c>
      <c r="D15" s="2">
        <v>13.05</v>
      </c>
      <c r="E15" s="31">
        <f>D15-C15</f>
        <v>5.9500000000000011</v>
      </c>
      <c r="F15" s="32">
        <v>6</v>
      </c>
      <c r="G15" s="64">
        <f>R13</f>
        <v>100</v>
      </c>
      <c r="H15" s="33">
        <f>$E$15/F15</f>
        <v>0.99166666666666681</v>
      </c>
      <c r="I15" s="65">
        <v>0.01</v>
      </c>
      <c r="J15" s="49">
        <v>0</v>
      </c>
      <c r="K15" s="10">
        <f>K16-$H$15</f>
        <v>6.1083333333333325</v>
      </c>
      <c r="L15" s="11">
        <f>K15+$H$15-$I$15</f>
        <v>7.09</v>
      </c>
      <c r="M15" s="11">
        <f>L15-K15</f>
        <v>0.98166666666666735</v>
      </c>
      <c r="N15" s="12">
        <f>N16-P16</f>
        <v>6.1033333333333335</v>
      </c>
      <c r="O15" s="12">
        <f t="shared" ref="O15:O39" si="0">(L15+K16)/2</f>
        <v>7.0949999999999998</v>
      </c>
      <c r="P15" s="11">
        <f>O15-N15</f>
        <v>0.99166666666666625</v>
      </c>
      <c r="Q15" s="11">
        <f>(N15+O15)/2</f>
        <v>6.5991666666666671</v>
      </c>
      <c r="R15" s="13">
        <f t="array" ref="R15:R40">FREQUENCY(C15:C114,O15:O40)</f>
        <v>0</v>
      </c>
      <c r="S15" s="13">
        <f>R15</f>
        <v>0</v>
      </c>
      <c r="T15" s="15">
        <f t="shared" ref="T15:T40" si="1">R15/$R$13</f>
        <v>0</v>
      </c>
      <c r="U15" s="17">
        <f>T15</f>
        <v>0</v>
      </c>
      <c r="V15" s="16">
        <f t="shared" ref="V15:V40" si="2">V16+R15</f>
        <v>100</v>
      </c>
      <c r="W15" s="15">
        <f t="shared" ref="W15:W40" si="3">V15/$R$13</f>
        <v>1</v>
      </c>
      <c r="X15" s="49">
        <v>0</v>
      </c>
      <c r="Y15" s="14">
        <f>R15*Q15</f>
        <v>0</v>
      </c>
      <c r="Z15" s="14">
        <f>K15</f>
        <v>6.1083333333333325</v>
      </c>
      <c r="AA15" s="14">
        <f>L15</f>
        <v>7.09</v>
      </c>
      <c r="AB15" s="176">
        <f>IF(U15&gt;=$AJ$12,J15,0)</f>
        <v>0</v>
      </c>
      <c r="AC15" s="176"/>
      <c r="AD15" s="176"/>
      <c r="AE15" s="176"/>
      <c r="AF15" s="176"/>
      <c r="AG15" s="176"/>
      <c r="AH15" s="175">
        <f t="shared" ref="AH15:AH37" si="4">IF(AP15=0,0,AG15)</f>
        <v>0</v>
      </c>
      <c r="AI15" s="176"/>
      <c r="AJ15" s="14"/>
      <c r="AK15" s="14"/>
      <c r="AL15" s="14"/>
      <c r="AM15" s="14"/>
      <c r="AN15" s="14"/>
      <c r="AO15" s="14"/>
      <c r="AP15" s="14"/>
      <c r="AQ15" s="14">
        <f>R15*(Q15-$Y$9)</f>
        <v>0</v>
      </c>
      <c r="AR15" s="14">
        <f>ABS(AQ15)</f>
        <v>0</v>
      </c>
      <c r="AS15" s="14">
        <f>R15*POWER((Q15-$Y$9),2)</f>
        <v>0</v>
      </c>
    </row>
    <row r="16" spans="1:47" ht="12.75" customHeight="1" thickTop="1" x14ac:dyDescent="0.2">
      <c r="A16" s="9">
        <v>2</v>
      </c>
      <c r="B16" s="2">
        <v>7.16</v>
      </c>
      <c r="C16" s="2">
        <v>7.16</v>
      </c>
      <c r="D16" s="2">
        <v>12.19</v>
      </c>
      <c r="E16" s="92" t="s">
        <v>63</v>
      </c>
      <c r="J16" s="50">
        <v>1</v>
      </c>
      <c r="K16" s="18">
        <f>C15</f>
        <v>7.1</v>
      </c>
      <c r="L16" s="11">
        <f>K16+$H$15-$I$15</f>
        <v>8.081666666666667</v>
      </c>
      <c r="M16" s="11">
        <f t="shared" ref="M16:M40" si="5">L16-K16</f>
        <v>0.98166666666666735</v>
      </c>
      <c r="N16" s="12">
        <f>O15</f>
        <v>7.0949999999999998</v>
      </c>
      <c r="O16" s="12">
        <f t="shared" si="0"/>
        <v>8.086666666666666</v>
      </c>
      <c r="P16" s="11">
        <f t="shared" ref="P16:P40" si="6">O16-N16</f>
        <v>0.99166666666666625</v>
      </c>
      <c r="Q16" s="11">
        <f t="shared" ref="Q16:Q40" si="7">(N16+O16)/2</f>
        <v>7.5908333333333324</v>
      </c>
      <c r="R16" s="13">
        <v>4</v>
      </c>
      <c r="S16" s="19">
        <f t="shared" ref="S16:S40" si="8">R16+S15</f>
        <v>4</v>
      </c>
      <c r="T16" s="15">
        <f t="shared" si="1"/>
        <v>0.04</v>
      </c>
      <c r="U16" s="17">
        <f t="shared" ref="U16:U40" si="9">U15+T16</f>
        <v>0.04</v>
      </c>
      <c r="V16" s="16">
        <f t="shared" si="2"/>
        <v>100</v>
      </c>
      <c r="W16" s="15">
        <f t="shared" si="3"/>
        <v>1</v>
      </c>
      <c r="X16" s="50">
        <v>1</v>
      </c>
      <c r="Y16" s="14">
        <f>R16*Q16</f>
        <v>30.36333333333333</v>
      </c>
      <c r="Z16" s="14">
        <f t="shared" ref="Z16:Z40" si="10">K16</f>
        <v>7.1</v>
      </c>
      <c r="AA16" s="14">
        <f t="shared" ref="AA16:AA40" si="11">L16</f>
        <v>8.081666666666667</v>
      </c>
      <c r="AB16" s="176">
        <f>IF(U16&gt;=$AJ$12,J16,0)</f>
        <v>0</v>
      </c>
      <c r="AC16" s="176">
        <f t="shared" ref="AC16:AC17" si="12">R15</f>
        <v>0</v>
      </c>
      <c r="AD16" s="176">
        <f t="shared" ref="AD16:AD79" si="13">R16-AC16</f>
        <v>4</v>
      </c>
      <c r="AE16" s="176">
        <f t="shared" ref="AE16:AE17" si="14">R17</f>
        <v>18</v>
      </c>
      <c r="AF16" s="176">
        <f t="shared" ref="AF16:AF17" si="15">R16-AE16</f>
        <v>-14</v>
      </c>
      <c r="AG16" s="175">
        <f>Z16+(AD16/(AD16+AF16))*M16</f>
        <v>6.7073333333333327</v>
      </c>
      <c r="AH16" s="175">
        <f t="shared" si="4"/>
        <v>0</v>
      </c>
      <c r="AI16" s="176">
        <f t="shared" ref="AI16:AI17" si="16">S15</f>
        <v>0</v>
      </c>
      <c r="AJ16" s="176">
        <f>S16</f>
        <v>4</v>
      </c>
      <c r="AK16" s="14">
        <f>L16-L15</f>
        <v>0.99166666666666714</v>
      </c>
      <c r="AL16" s="176">
        <f>S16-S15</f>
        <v>4</v>
      </c>
      <c r="AM16" s="176">
        <f>($AI$10/$AI$11)*$AJ$10</f>
        <v>50</v>
      </c>
      <c r="AN16" s="176">
        <f>$G$15/2-AI16</f>
        <v>50</v>
      </c>
      <c r="AO16" s="77">
        <f>Z16+AK16/AL16*AN16</f>
        <v>19.495833333333337</v>
      </c>
      <c r="AP16" s="191">
        <f>IF(AB16=0,0,IF(AN16&lt;0,0,AO16))</f>
        <v>0</v>
      </c>
      <c r="AQ16" s="14">
        <f>R16*(Q16-$Y$9)</f>
        <v>-8.9942666666666469</v>
      </c>
      <c r="AR16" s="14">
        <f>ABS(AQ16)</f>
        <v>8.9942666666666469</v>
      </c>
      <c r="AS16" s="14">
        <f>R16*POWER((Q16-$Y$9),2)</f>
        <v>20.22420821777769</v>
      </c>
    </row>
    <row r="17" spans="1:45" x14ac:dyDescent="0.2">
      <c r="A17" s="9">
        <v>3</v>
      </c>
      <c r="B17" s="2">
        <v>7.84</v>
      </c>
      <c r="C17" s="2">
        <v>7.84</v>
      </c>
      <c r="D17" s="2">
        <v>11.7</v>
      </c>
      <c r="E17" s="93"/>
      <c r="J17" s="50">
        <v>2</v>
      </c>
      <c r="K17" s="11">
        <f>L16+$I$15</f>
        <v>8.0916666666666668</v>
      </c>
      <c r="L17" s="11">
        <f t="shared" ref="L17:L40" si="17">K17+$H$15-$I$15</f>
        <v>9.0733333333333341</v>
      </c>
      <c r="M17" s="11">
        <f t="shared" si="5"/>
        <v>0.98166666666666735</v>
      </c>
      <c r="N17" s="12">
        <f>O16</f>
        <v>8.086666666666666</v>
      </c>
      <c r="O17" s="12">
        <f t="shared" si="0"/>
        <v>9.0783333333333331</v>
      </c>
      <c r="P17" s="11">
        <f t="shared" si="6"/>
        <v>0.99166666666666714</v>
      </c>
      <c r="Q17" s="11">
        <f t="shared" si="7"/>
        <v>8.5824999999999996</v>
      </c>
      <c r="R17" s="13">
        <v>18</v>
      </c>
      <c r="S17" s="19">
        <f t="shared" si="8"/>
        <v>22</v>
      </c>
      <c r="T17" s="15">
        <f t="shared" si="1"/>
        <v>0.18</v>
      </c>
      <c r="U17" s="17">
        <f t="shared" si="9"/>
        <v>0.22</v>
      </c>
      <c r="V17" s="20">
        <f t="shared" si="2"/>
        <v>96</v>
      </c>
      <c r="W17" s="15">
        <f t="shared" si="3"/>
        <v>0.96</v>
      </c>
      <c r="X17" s="50">
        <v>2</v>
      </c>
      <c r="Y17" s="14">
        <f>R17*Q17</f>
        <v>154.48499999999999</v>
      </c>
      <c r="Z17" s="14">
        <f t="shared" si="10"/>
        <v>8.0916666666666668</v>
      </c>
      <c r="AA17" s="14">
        <f t="shared" si="11"/>
        <v>9.0733333333333341</v>
      </c>
      <c r="AB17" s="176">
        <f>IF(U17&gt;=$AJ$12,J17,0)</f>
        <v>0</v>
      </c>
      <c r="AC17" s="176">
        <f t="shared" si="12"/>
        <v>4</v>
      </c>
      <c r="AD17" s="176">
        <f t="shared" si="13"/>
        <v>14</v>
      </c>
      <c r="AE17" s="176">
        <f t="shared" si="14"/>
        <v>37</v>
      </c>
      <c r="AF17" s="176">
        <f t="shared" si="15"/>
        <v>-19</v>
      </c>
      <c r="AG17" s="175">
        <f t="shared" ref="AG17:AG40" si="18">Z17+(AD17/(AD17+AF17))*M17</f>
        <v>5.3429999999999982</v>
      </c>
      <c r="AH17" s="175">
        <f t="shared" si="4"/>
        <v>0</v>
      </c>
      <c r="AI17" s="176">
        <f t="shared" si="16"/>
        <v>4</v>
      </c>
      <c r="AJ17" s="176">
        <f>S17</f>
        <v>22</v>
      </c>
      <c r="AK17" s="14">
        <f>L17-L16</f>
        <v>0.99166666666666714</v>
      </c>
      <c r="AL17" s="176">
        <f t="shared" ref="AL17:AL40" si="19">S17-S16</f>
        <v>18</v>
      </c>
      <c r="AM17" s="176">
        <f>($AI$10/$AI$11)*$AJ$10</f>
        <v>50</v>
      </c>
      <c r="AN17" s="176">
        <f t="shared" ref="AN17:AN40" si="20">$G$15/2-AI17</f>
        <v>46</v>
      </c>
      <c r="AO17" s="77">
        <f>Z17+AK17/AL17*AN17</f>
        <v>10.625925925925927</v>
      </c>
      <c r="AP17" s="191">
        <f>IF(AB17=0,0,IF(AN17&lt;0,0,AO17))</f>
        <v>0</v>
      </c>
      <c r="AQ17" s="14">
        <f>R17*(Q17-$Y$9)</f>
        <v>-22.624199999999902</v>
      </c>
      <c r="AR17" s="14">
        <f t="shared" ref="AR17:AR40" si="21">ABS(AQ17)</f>
        <v>22.624199999999902</v>
      </c>
      <c r="AS17" s="14">
        <f>R17*POWER((Q17-$Y$9),2)</f>
        <v>28.436356979999754</v>
      </c>
    </row>
    <row r="18" spans="1:45" x14ac:dyDescent="0.2">
      <c r="A18" s="9">
        <v>4</v>
      </c>
      <c r="B18" s="2">
        <v>7.97</v>
      </c>
      <c r="C18" s="2">
        <v>7.97</v>
      </c>
      <c r="D18" s="2">
        <v>11.41</v>
      </c>
      <c r="E18" s="93"/>
      <c r="J18" s="50">
        <v>3</v>
      </c>
      <c r="K18" s="11">
        <f>L17+$I$15</f>
        <v>9.0833333333333339</v>
      </c>
      <c r="L18" s="11">
        <f t="shared" si="17"/>
        <v>10.065000000000001</v>
      </c>
      <c r="M18" s="11">
        <f t="shared" si="5"/>
        <v>0.98166666666666735</v>
      </c>
      <c r="N18" s="12">
        <f>O17</f>
        <v>9.0783333333333331</v>
      </c>
      <c r="O18" s="12">
        <f t="shared" si="0"/>
        <v>10.07</v>
      </c>
      <c r="P18" s="11">
        <f t="shared" si="6"/>
        <v>0.99166666666666714</v>
      </c>
      <c r="Q18" s="11">
        <f t="shared" si="7"/>
        <v>9.5741666666666667</v>
      </c>
      <c r="R18" s="13">
        <v>37</v>
      </c>
      <c r="S18" s="19">
        <f t="shared" si="8"/>
        <v>59</v>
      </c>
      <c r="T18" s="15">
        <f t="shared" si="1"/>
        <v>0.37</v>
      </c>
      <c r="U18" s="17">
        <f t="shared" si="9"/>
        <v>0.59</v>
      </c>
      <c r="V18" s="20">
        <f t="shared" si="2"/>
        <v>78</v>
      </c>
      <c r="W18" s="15">
        <f t="shared" si="3"/>
        <v>0.78</v>
      </c>
      <c r="X18" s="50">
        <v>3</v>
      </c>
      <c r="Y18" s="14">
        <f>R18*Q18</f>
        <v>354.24416666666667</v>
      </c>
      <c r="Z18" s="14">
        <f t="shared" si="10"/>
        <v>9.0833333333333339</v>
      </c>
      <c r="AA18" s="14">
        <f t="shared" si="11"/>
        <v>10.065000000000001</v>
      </c>
      <c r="AB18" s="176">
        <f>IF(U18&gt;=$AJ$12,J18,0)</f>
        <v>3</v>
      </c>
      <c r="AC18" s="176">
        <f>R17</f>
        <v>18</v>
      </c>
      <c r="AD18" s="176">
        <f t="shared" si="13"/>
        <v>19</v>
      </c>
      <c r="AE18" s="176">
        <f>R19</f>
        <v>33</v>
      </c>
      <c r="AF18" s="176">
        <f>R18-AE18</f>
        <v>4</v>
      </c>
      <c r="AG18" s="175">
        <f t="shared" si="18"/>
        <v>9.894275362318842</v>
      </c>
      <c r="AH18" s="175">
        <f>IF(AP18=0,0,AG18)</f>
        <v>9.894275362318842</v>
      </c>
      <c r="AI18" s="176">
        <f>S17</f>
        <v>22</v>
      </c>
      <c r="AJ18" s="176">
        <f>S18</f>
        <v>59</v>
      </c>
      <c r="AK18" s="14">
        <f>L18-L17</f>
        <v>0.99166666666666714</v>
      </c>
      <c r="AL18" s="176">
        <f t="shared" si="19"/>
        <v>37</v>
      </c>
      <c r="AM18" s="176">
        <f>($AI$10/$AI$11)*$AJ$10</f>
        <v>50</v>
      </c>
      <c r="AN18" s="176">
        <f t="shared" si="20"/>
        <v>28</v>
      </c>
      <c r="AO18" s="77">
        <f>Z18+AK18/AL18*AN18</f>
        <v>9.8337837837837849</v>
      </c>
      <c r="AP18" s="191">
        <f>IF(AB18=0,0,IF(AN18&lt;0,0,AO18))</f>
        <v>9.8337837837837849</v>
      </c>
      <c r="AQ18" s="14">
        <f>R18*(Q18-$Y$9)</f>
        <v>-9.8136333333331152</v>
      </c>
      <c r="AR18" s="14">
        <f t="shared" si="21"/>
        <v>9.8136333333331152</v>
      </c>
      <c r="AS18" s="14">
        <f>R18*POWER((Q18-$Y$9),2)</f>
        <v>2.6029026811109954</v>
      </c>
    </row>
    <row r="19" spans="1:45" x14ac:dyDescent="0.2">
      <c r="A19" s="9">
        <v>5</v>
      </c>
      <c r="B19" s="2">
        <v>8.31</v>
      </c>
      <c r="C19" s="2">
        <v>8.31</v>
      </c>
      <c r="D19" s="2">
        <v>11.3</v>
      </c>
      <c r="E19" s="93"/>
      <c r="J19" s="50">
        <v>4</v>
      </c>
      <c r="K19" s="11">
        <f>L18+$I$15</f>
        <v>10.075000000000001</v>
      </c>
      <c r="L19" s="11">
        <f t="shared" si="17"/>
        <v>11.056666666666668</v>
      </c>
      <c r="M19" s="11">
        <f t="shared" si="5"/>
        <v>0.98166666666666735</v>
      </c>
      <c r="N19" s="12">
        <f t="shared" ref="N19:N40" si="22">O18</f>
        <v>10.07</v>
      </c>
      <c r="O19" s="12">
        <f t="shared" si="0"/>
        <v>11.061666666666667</v>
      </c>
      <c r="P19" s="11">
        <f t="shared" si="6"/>
        <v>0.99166666666666714</v>
      </c>
      <c r="Q19" s="11">
        <f t="shared" si="7"/>
        <v>10.565833333333334</v>
      </c>
      <c r="R19" s="13">
        <v>33</v>
      </c>
      <c r="S19" s="19">
        <f t="shared" si="8"/>
        <v>92</v>
      </c>
      <c r="T19" s="15">
        <f t="shared" si="1"/>
        <v>0.33</v>
      </c>
      <c r="U19" s="17">
        <f t="shared" si="9"/>
        <v>0.91999999999999993</v>
      </c>
      <c r="V19" s="20">
        <f t="shared" si="2"/>
        <v>41</v>
      </c>
      <c r="W19" s="15">
        <f t="shared" si="3"/>
        <v>0.41</v>
      </c>
      <c r="X19" s="50">
        <v>4</v>
      </c>
      <c r="Y19" s="14">
        <f>R19*Q19</f>
        <v>348.67250000000001</v>
      </c>
      <c r="Z19" s="14">
        <f t="shared" si="10"/>
        <v>10.075000000000001</v>
      </c>
      <c r="AA19" s="14">
        <f t="shared" si="11"/>
        <v>11.056666666666668</v>
      </c>
      <c r="AB19" s="176">
        <f>IF(U19&gt;=$AJ$12,J19,0)</f>
        <v>4</v>
      </c>
      <c r="AC19" s="176">
        <f t="shared" ref="AC19:AC37" si="23">R18</f>
        <v>37</v>
      </c>
      <c r="AD19" s="176">
        <f>R19-AC19</f>
        <v>-4</v>
      </c>
      <c r="AE19" s="176">
        <f>R20</f>
        <v>6</v>
      </c>
      <c r="AF19" s="176">
        <f t="shared" ref="AF19:AF82" si="24">R19-AE19</f>
        <v>27</v>
      </c>
      <c r="AG19" s="175">
        <f t="shared" si="18"/>
        <v>9.9042753623188418</v>
      </c>
      <c r="AH19" s="175">
        <f t="shared" si="4"/>
        <v>0</v>
      </c>
      <c r="AI19" s="176">
        <f>S18</f>
        <v>59</v>
      </c>
      <c r="AJ19" s="176">
        <f>S19</f>
        <v>92</v>
      </c>
      <c r="AK19" s="14">
        <f>L19-L18</f>
        <v>0.99166666666666714</v>
      </c>
      <c r="AL19" s="176">
        <f t="shared" si="19"/>
        <v>33</v>
      </c>
      <c r="AM19" s="176">
        <f>($AI$10/$AI$11)*$AJ$10</f>
        <v>50</v>
      </c>
      <c r="AN19" s="176">
        <f t="shared" si="20"/>
        <v>-9</v>
      </c>
      <c r="AO19" s="77">
        <f>Z19+AK19/AL19*AN19</f>
        <v>9.8045454545454547</v>
      </c>
      <c r="AP19" s="191">
        <f>IF(AB19=0,0,IF(AN19&lt;0,0,AO19))</f>
        <v>0</v>
      </c>
      <c r="AQ19" s="14">
        <f>R19*(Q19-$Y$9)</f>
        <v>23.97230000000021</v>
      </c>
      <c r="AR19" s="14">
        <f t="shared" si="21"/>
        <v>23.97230000000021</v>
      </c>
      <c r="AS19" s="14">
        <f>R19*POWER((Q19-$Y$9),2)</f>
        <v>17.414277796666973</v>
      </c>
    </row>
    <row r="20" spans="1:45" x14ac:dyDescent="0.2">
      <c r="A20" s="9">
        <v>6</v>
      </c>
      <c r="B20" s="2">
        <v>8.39</v>
      </c>
      <c r="C20" s="2">
        <v>8.39</v>
      </c>
      <c r="D20" s="2">
        <v>11.28</v>
      </c>
      <c r="E20" s="93"/>
      <c r="J20" s="50">
        <v>5</v>
      </c>
      <c r="K20" s="11">
        <f>L19+$I$15</f>
        <v>11.066666666666668</v>
      </c>
      <c r="L20" s="11">
        <f t="shared" si="17"/>
        <v>12.048333333333336</v>
      </c>
      <c r="M20" s="11">
        <f t="shared" si="5"/>
        <v>0.98166666666666735</v>
      </c>
      <c r="N20" s="12">
        <f t="shared" si="22"/>
        <v>11.061666666666667</v>
      </c>
      <c r="O20" s="12">
        <f t="shared" si="0"/>
        <v>12.053333333333335</v>
      </c>
      <c r="P20" s="11">
        <f t="shared" si="6"/>
        <v>0.99166666666666714</v>
      </c>
      <c r="Q20" s="11">
        <f t="shared" si="7"/>
        <v>11.557500000000001</v>
      </c>
      <c r="R20" s="13">
        <v>6</v>
      </c>
      <c r="S20" s="19">
        <f t="shared" si="8"/>
        <v>98</v>
      </c>
      <c r="T20" s="15">
        <f t="shared" si="1"/>
        <v>0.06</v>
      </c>
      <c r="U20" s="17">
        <f>U19+T20</f>
        <v>0.98</v>
      </c>
      <c r="V20" s="20">
        <f t="shared" si="2"/>
        <v>8</v>
      </c>
      <c r="W20" s="15">
        <f t="shared" si="3"/>
        <v>0.08</v>
      </c>
      <c r="X20" s="50">
        <v>5</v>
      </c>
      <c r="Y20" s="14">
        <f>R20*Q20</f>
        <v>69.344999999999999</v>
      </c>
      <c r="Z20" s="14">
        <f t="shared" si="10"/>
        <v>11.066666666666668</v>
      </c>
      <c r="AA20" s="14">
        <f t="shared" si="11"/>
        <v>12.048333333333336</v>
      </c>
      <c r="AB20" s="176">
        <f>IF(U20&gt;=$AJ$12,J20,0)</f>
        <v>5</v>
      </c>
      <c r="AC20" s="176">
        <f t="shared" si="23"/>
        <v>33</v>
      </c>
      <c r="AD20" s="176">
        <f t="shared" si="13"/>
        <v>-27</v>
      </c>
      <c r="AE20" s="176">
        <f>R21</f>
        <v>1</v>
      </c>
      <c r="AF20" s="176">
        <f t="shared" si="24"/>
        <v>5</v>
      </c>
      <c r="AG20" s="175">
        <f t="shared" si="18"/>
        <v>12.271439393939396</v>
      </c>
      <c r="AH20" s="175">
        <f t="shared" si="4"/>
        <v>0</v>
      </c>
      <c r="AI20" s="176">
        <f>S19</f>
        <v>92</v>
      </c>
      <c r="AJ20" s="176">
        <f>S20</f>
        <v>98</v>
      </c>
      <c r="AK20" s="14">
        <f>L20-L19</f>
        <v>0.99166666666666714</v>
      </c>
      <c r="AL20" s="176">
        <f t="shared" si="19"/>
        <v>6</v>
      </c>
      <c r="AM20" s="176">
        <f>($AI$10/$AI$11)*$AJ$10</f>
        <v>50</v>
      </c>
      <c r="AN20" s="176">
        <f t="shared" si="20"/>
        <v>-42</v>
      </c>
      <c r="AO20" s="77">
        <f>Z20+AK20/AL20*AN20</f>
        <v>4.1249999999999982</v>
      </c>
      <c r="AP20" s="191">
        <f>IF(AB20=0,0,IF(AN20&lt;0,0,AO20))</f>
        <v>0</v>
      </c>
      <c r="AQ20" s="14">
        <f>R20*(Q20-$Y$9)</f>
        <v>10.308600000000041</v>
      </c>
      <c r="AR20" s="14">
        <f t="shared" si="21"/>
        <v>10.308600000000041</v>
      </c>
      <c r="AS20" s="14">
        <f>R20*POWER((Q20-$Y$9),2)</f>
        <v>17.71120566000014</v>
      </c>
    </row>
    <row r="21" spans="1:45" ht="13.5" thickBot="1" x14ac:dyDescent="0.25">
      <c r="A21" s="9">
        <v>7</v>
      </c>
      <c r="B21" s="2">
        <v>8.59</v>
      </c>
      <c r="C21" s="2">
        <v>8.59</v>
      </c>
      <c r="D21" s="2">
        <v>11.26</v>
      </c>
      <c r="E21" s="33">
        <f>SUM(C15:C114)</f>
        <v>983.93999999999949</v>
      </c>
      <c r="J21" s="50">
        <v>6</v>
      </c>
      <c r="K21" s="11">
        <f>L20+$I$15</f>
        <v>12.058333333333335</v>
      </c>
      <c r="L21" s="11">
        <f t="shared" si="17"/>
        <v>13.040000000000003</v>
      </c>
      <c r="M21" s="11">
        <f t="shared" si="5"/>
        <v>0.98166666666666735</v>
      </c>
      <c r="N21" s="12">
        <f t="shared" si="22"/>
        <v>12.053333333333335</v>
      </c>
      <c r="O21" s="12">
        <f t="shared" si="0"/>
        <v>13.045000000000002</v>
      </c>
      <c r="P21" s="11">
        <f t="shared" si="6"/>
        <v>0.99166666666666714</v>
      </c>
      <c r="Q21" s="11">
        <f t="shared" si="7"/>
        <v>12.549166666666668</v>
      </c>
      <c r="R21" s="13">
        <v>1</v>
      </c>
      <c r="S21" s="19">
        <f t="shared" si="8"/>
        <v>99</v>
      </c>
      <c r="T21" s="15">
        <f t="shared" si="1"/>
        <v>0.01</v>
      </c>
      <c r="U21" s="17">
        <f t="shared" si="9"/>
        <v>0.99</v>
      </c>
      <c r="V21" s="20">
        <f t="shared" si="2"/>
        <v>2</v>
      </c>
      <c r="W21" s="15">
        <f t="shared" si="3"/>
        <v>0.02</v>
      </c>
      <c r="X21" s="50">
        <v>6</v>
      </c>
      <c r="Y21" s="14">
        <f>R21*Q21</f>
        <v>12.549166666666668</v>
      </c>
      <c r="Z21" s="14">
        <f t="shared" si="10"/>
        <v>12.058333333333335</v>
      </c>
      <c r="AA21" s="14">
        <f t="shared" si="11"/>
        <v>13.040000000000003</v>
      </c>
      <c r="AB21" s="176">
        <f>IF(U21&gt;=$AJ$12,J21,0)</f>
        <v>6</v>
      </c>
      <c r="AC21" s="176">
        <f t="shared" si="23"/>
        <v>6</v>
      </c>
      <c r="AD21" s="176">
        <f t="shared" si="13"/>
        <v>-5</v>
      </c>
      <c r="AE21" s="176">
        <f>R22</f>
        <v>1</v>
      </c>
      <c r="AF21" s="176">
        <f t="shared" si="24"/>
        <v>0</v>
      </c>
      <c r="AG21" s="175">
        <f t="shared" si="18"/>
        <v>13.040000000000003</v>
      </c>
      <c r="AH21" s="175">
        <f t="shared" si="4"/>
        <v>0</v>
      </c>
      <c r="AI21" s="176">
        <f>S20</f>
        <v>98</v>
      </c>
      <c r="AJ21" s="176">
        <f>S21</f>
        <v>99</v>
      </c>
      <c r="AK21" s="14">
        <f>L21-L20</f>
        <v>0.99166666666666714</v>
      </c>
      <c r="AL21" s="176">
        <f t="shared" si="19"/>
        <v>1</v>
      </c>
      <c r="AM21" s="176">
        <f>($AI$10/$AI$11)*$AJ$10</f>
        <v>50</v>
      </c>
      <c r="AN21" s="176">
        <f t="shared" si="20"/>
        <v>-48</v>
      </c>
      <c r="AO21" s="77">
        <f>Z21+AK21/AL21*AN21</f>
        <v>-35.541666666666686</v>
      </c>
      <c r="AP21" s="191">
        <f>IF(AB21=0,0,IF(AN21&lt;0,0,AO21))</f>
        <v>0</v>
      </c>
      <c r="AQ21" s="14">
        <f>R21*(Q21-$Y$9)</f>
        <v>2.709766666666674</v>
      </c>
      <c r="AR21" s="14">
        <f t="shared" si="21"/>
        <v>2.709766666666674</v>
      </c>
      <c r="AS21" s="14">
        <f>R21*POWER((Q21-$Y$9),2)</f>
        <v>7.3428353877778179</v>
      </c>
    </row>
    <row r="22" spans="1:45" ht="13.5" thickTop="1" x14ac:dyDescent="0.2">
      <c r="A22" s="9">
        <v>8</v>
      </c>
      <c r="B22" s="2">
        <v>8.6199999999999992</v>
      </c>
      <c r="C22" s="2">
        <v>8.6199999999999992</v>
      </c>
      <c r="D22" s="2">
        <v>11.11</v>
      </c>
      <c r="F22" s="194">
        <f>MODE(C15:C114)</f>
        <v>8.8000000000000007</v>
      </c>
      <c r="G22" s="62"/>
      <c r="H22" s="63"/>
      <c r="I22" s="63"/>
      <c r="J22" s="50">
        <v>7</v>
      </c>
      <c r="K22" s="11">
        <f>L21+$I$15</f>
        <v>13.050000000000002</v>
      </c>
      <c r="L22" s="11">
        <f t="shared" si="17"/>
        <v>14.03166666666667</v>
      </c>
      <c r="M22" s="11">
        <f t="shared" si="5"/>
        <v>0.98166666666666735</v>
      </c>
      <c r="N22" s="12">
        <f t="shared" si="22"/>
        <v>13.045000000000002</v>
      </c>
      <c r="O22" s="12">
        <f t="shared" si="0"/>
        <v>14.036666666666669</v>
      </c>
      <c r="P22" s="11">
        <f t="shared" si="6"/>
        <v>0.99166666666666714</v>
      </c>
      <c r="Q22" s="11">
        <f t="shared" si="7"/>
        <v>13.540833333333335</v>
      </c>
      <c r="R22" s="13">
        <v>1</v>
      </c>
      <c r="S22" s="19">
        <f t="shared" si="8"/>
        <v>100</v>
      </c>
      <c r="T22" s="15">
        <f t="shared" si="1"/>
        <v>0.01</v>
      </c>
      <c r="U22" s="17">
        <f t="shared" si="9"/>
        <v>1</v>
      </c>
      <c r="V22" s="20">
        <f t="shared" si="2"/>
        <v>1</v>
      </c>
      <c r="W22" s="15">
        <f t="shared" si="3"/>
        <v>0.01</v>
      </c>
      <c r="X22" s="50">
        <v>7</v>
      </c>
      <c r="Y22" s="14">
        <f>R22*Q22</f>
        <v>13.540833333333335</v>
      </c>
      <c r="Z22" s="14">
        <f t="shared" si="10"/>
        <v>13.050000000000002</v>
      </c>
      <c r="AA22" s="14">
        <f t="shared" si="11"/>
        <v>14.03166666666667</v>
      </c>
      <c r="AB22" s="176">
        <f>IF(U22&gt;=$AJ$12,J22,0)</f>
        <v>7</v>
      </c>
      <c r="AC22" s="176">
        <f t="shared" si="23"/>
        <v>1</v>
      </c>
      <c r="AD22" s="176">
        <f t="shared" si="13"/>
        <v>0</v>
      </c>
      <c r="AE22" s="176">
        <f>R23</f>
        <v>0</v>
      </c>
      <c r="AF22" s="176">
        <f t="shared" si="24"/>
        <v>1</v>
      </c>
      <c r="AG22" s="175">
        <f t="shared" si="18"/>
        <v>13.050000000000002</v>
      </c>
      <c r="AH22" s="175">
        <f t="shared" si="4"/>
        <v>0</v>
      </c>
      <c r="AI22" s="176">
        <f>S21</f>
        <v>99</v>
      </c>
      <c r="AJ22" s="176">
        <f>S22</f>
        <v>100</v>
      </c>
      <c r="AK22" s="14">
        <f>L22-L21</f>
        <v>0.99166666666666714</v>
      </c>
      <c r="AL22" s="176">
        <f t="shared" si="19"/>
        <v>1</v>
      </c>
      <c r="AM22" s="176">
        <f>($AI$10/$AI$11)*$AJ$10</f>
        <v>50</v>
      </c>
      <c r="AN22" s="176">
        <f t="shared" si="20"/>
        <v>-49</v>
      </c>
      <c r="AO22" s="77">
        <f>Z22+AK22/AL22*AN22</f>
        <v>-35.541666666666686</v>
      </c>
      <c r="AP22" s="191">
        <f>IF(AB22=0,0,IF(AN22&lt;0,0,AO22))</f>
        <v>0</v>
      </c>
      <c r="AQ22" s="14">
        <f>R22*(Q22-$Y$9)</f>
        <v>3.7014333333333411</v>
      </c>
      <c r="AR22" s="14">
        <f t="shared" si="21"/>
        <v>3.7014333333333411</v>
      </c>
      <c r="AS22" s="14">
        <f>R22*POWER((Q22-$Y$9),2)</f>
        <v>13.700608721111168</v>
      </c>
    </row>
    <row r="23" spans="1:45" x14ac:dyDescent="0.2">
      <c r="A23" s="9">
        <v>9</v>
      </c>
      <c r="B23" s="2">
        <v>8.67</v>
      </c>
      <c r="C23" s="2">
        <v>8.67</v>
      </c>
      <c r="D23" s="2">
        <v>10.99</v>
      </c>
      <c r="G23" s="62"/>
      <c r="H23" s="63"/>
      <c r="I23" s="63"/>
      <c r="J23" s="50">
        <v>8</v>
      </c>
      <c r="K23" s="11">
        <f>L22+$I$15</f>
        <v>14.04166666666667</v>
      </c>
      <c r="L23" s="11">
        <f t="shared" si="17"/>
        <v>15.023333333333337</v>
      </c>
      <c r="M23" s="11">
        <f t="shared" si="5"/>
        <v>0.98166666666666735</v>
      </c>
      <c r="N23" s="12">
        <f t="shared" si="22"/>
        <v>14.036666666666669</v>
      </c>
      <c r="O23" s="12">
        <f t="shared" si="0"/>
        <v>15.028333333333336</v>
      </c>
      <c r="P23" s="11">
        <f t="shared" si="6"/>
        <v>0.99166666666666714</v>
      </c>
      <c r="Q23" s="11">
        <f t="shared" si="7"/>
        <v>14.532500000000002</v>
      </c>
      <c r="R23" s="13">
        <v>0</v>
      </c>
      <c r="S23" s="13">
        <f t="shared" si="8"/>
        <v>100</v>
      </c>
      <c r="T23" s="15">
        <f t="shared" si="1"/>
        <v>0</v>
      </c>
      <c r="U23" s="17">
        <f t="shared" si="9"/>
        <v>1</v>
      </c>
      <c r="V23" s="20">
        <f t="shared" si="2"/>
        <v>0</v>
      </c>
      <c r="W23" s="15">
        <f t="shared" si="3"/>
        <v>0</v>
      </c>
      <c r="X23" s="50">
        <v>8</v>
      </c>
      <c r="Y23" s="14">
        <f>R23*Q23</f>
        <v>0</v>
      </c>
      <c r="Z23" s="14">
        <f t="shared" si="10"/>
        <v>14.04166666666667</v>
      </c>
      <c r="AA23" s="14">
        <f t="shared" si="11"/>
        <v>15.023333333333337</v>
      </c>
      <c r="AB23" s="176">
        <f>IF(U23&gt;=$AJ$12,J23,0)</f>
        <v>8</v>
      </c>
      <c r="AC23" s="176">
        <f t="shared" si="23"/>
        <v>1</v>
      </c>
      <c r="AD23" s="176">
        <f t="shared" si="13"/>
        <v>-1</v>
      </c>
      <c r="AE23" s="176">
        <f>R24</f>
        <v>0</v>
      </c>
      <c r="AF23" s="176">
        <f t="shared" si="24"/>
        <v>0</v>
      </c>
      <c r="AG23" s="175">
        <f t="shared" si="18"/>
        <v>15.023333333333337</v>
      </c>
      <c r="AH23" s="175">
        <f t="shared" si="4"/>
        <v>0</v>
      </c>
      <c r="AI23" s="176">
        <f>S22</f>
        <v>100</v>
      </c>
      <c r="AJ23" s="176">
        <f>S23</f>
        <v>100</v>
      </c>
      <c r="AK23" s="14">
        <f>L23-L22</f>
        <v>0.99166666666666714</v>
      </c>
      <c r="AL23" s="176">
        <f t="shared" si="19"/>
        <v>0</v>
      </c>
      <c r="AM23" s="176">
        <f>($AI$10/$AI$11)*$AJ$10</f>
        <v>50</v>
      </c>
      <c r="AN23" s="176">
        <f t="shared" si="20"/>
        <v>-50</v>
      </c>
      <c r="AO23" s="77" t="e">
        <f>Z23+AK23/AL23*AN23</f>
        <v>#DIV/0!</v>
      </c>
      <c r="AP23" s="191">
        <f>IF(AB23=0,0,IF(AN23&lt;0,0,AO23))</f>
        <v>0</v>
      </c>
      <c r="AQ23" s="14">
        <f>R23*(Q23-$Y$9)</f>
        <v>0</v>
      </c>
      <c r="AR23" s="14">
        <f t="shared" si="21"/>
        <v>0</v>
      </c>
      <c r="AS23" s="14">
        <f>R23*POWER((Q23-$Y$9),2)</f>
        <v>0</v>
      </c>
    </row>
    <row r="24" spans="1:45" x14ac:dyDescent="0.2">
      <c r="A24" s="9">
        <v>10</v>
      </c>
      <c r="B24" s="2">
        <v>8.69</v>
      </c>
      <c r="C24" s="2">
        <v>8.69</v>
      </c>
      <c r="D24" s="2">
        <v>10.97</v>
      </c>
      <c r="G24" s="62"/>
      <c r="H24" s="63"/>
      <c r="I24" s="63"/>
      <c r="J24" s="50">
        <v>9</v>
      </c>
      <c r="K24" s="11">
        <f>L23+$I$15</f>
        <v>15.033333333333337</v>
      </c>
      <c r="L24" s="11">
        <f t="shared" si="17"/>
        <v>16.015000000000001</v>
      </c>
      <c r="M24" s="11">
        <f t="shared" si="5"/>
        <v>0.9816666666666638</v>
      </c>
      <c r="N24" s="12">
        <f t="shared" si="22"/>
        <v>15.028333333333336</v>
      </c>
      <c r="O24" s="12">
        <f t="shared" si="0"/>
        <v>16.020000000000003</v>
      </c>
      <c r="P24" s="11">
        <f t="shared" si="6"/>
        <v>0.99166666666666714</v>
      </c>
      <c r="Q24" s="11">
        <f t="shared" si="7"/>
        <v>15.52416666666667</v>
      </c>
      <c r="R24" s="13">
        <v>0</v>
      </c>
      <c r="S24" s="13">
        <f t="shared" si="8"/>
        <v>100</v>
      </c>
      <c r="T24" s="15">
        <f t="shared" si="1"/>
        <v>0</v>
      </c>
      <c r="U24" s="17">
        <f t="shared" si="9"/>
        <v>1</v>
      </c>
      <c r="V24" s="20">
        <f t="shared" si="2"/>
        <v>0</v>
      </c>
      <c r="W24" s="15">
        <f t="shared" si="3"/>
        <v>0</v>
      </c>
      <c r="X24" s="50">
        <v>9</v>
      </c>
      <c r="Y24" s="14">
        <f>R24*Q24</f>
        <v>0</v>
      </c>
      <c r="Z24" s="14">
        <f t="shared" si="10"/>
        <v>15.033333333333337</v>
      </c>
      <c r="AA24" s="14">
        <f t="shared" si="11"/>
        <v>16.015000000000001</v>
      </c>
      <c r="AB24" s="176">
        <f>IF(U24&gt;=$AJ$12,J24,0)</f>
        <v>9</v>
      </c>
      <c r="AC24" s="176">
        <f t="shared" si="23"/>
        <v>0</v>
      </c>
      <c r="AD24" s="176">
        <f t="shared" si="13"/>
        <v>0</v>
      </c>
      <c r="AE24" s="176">
        <f>R25</f>
        <v>0</v>
      </c>
      <c r="AF24" s="176">
        <f t="shared" si="24"/>
        <v>0</v>
      </c>
      <c r="AG24" s="175" t="e">
        <f t="shared" si="18"/>
        <v>#DIV/0!</v>
      </c>
      <c r="AH24" s="175">
        <f t="shared" si="4"/>
        <v>0</v>
      </c>
      <c r="AI24" s="176">
        <f>S23</f>
        <v>100</v>
      </c>
      <c r="AJ24" s="176">
        <f>S24</f>
        <v>100</v>
      </c>
      <c r="AK24" s="14">
        <f>L24-L23</f>
        <v>0.99166666666666359</v>
      </c>
      <c r="AL24" s="176">
        <f t="shared" si="19"/>
        <v>0</v>
      </c>
      <c r="AM24" s="176">
        <f>($AI$10/$AI$11)*$AJ$10</f>
        <v>50</v>
      </c>
      <c r="AN24" s="176">
        <f t="shared" si="20"/>
        <v>-50</v>
      </c>
      <c r="AO24" s="77" t="e">
        <f>Z24+AK24/AL24*AN24</f>
        <v>#DIV/0!</v>
      </c>
      <c r="AP24" s="191">
        <f>IF(AB24=0,0,IF(AN24&lt;0,0,AO24))</f>
        <v>0</v>
      </c>
      <c r="AQ24" s="14">
        <f>R24*(Q24-$Y$9)</f>
        <v>0</v>
      </c>
      <c r="AR24" s="14">
        <f t="shared" si="21"/>
        <v>0</v>
      </c>
      <c r="AS24" s="14">
        <f>R24*POWER((Q24-$Y$9),2)</f>
        <v>0</v>
      </c>
    </row>
    <row r="25" spans="1:45" x14ac:dyDescent="0.2">
      <c r="A25" s="23">
        <v>11</v>
      </c>
      <c r="B25" s="2">
        <v>8.7200000000000006</v>
      </c>
      <c r="C25" s="2">
        <v>8.7200000000000006</v>
      </c>
      <c r="D25" s="2">
        <v>10.92</v>
      </c>
      <c r="G25" s="62"/>
      <c r="H25" s="63"/>
      <c r="I25" s="63"/>
      <c r="J25" s="50">
        <v>10</v>
      </c>
      <c r="K25" s="11">
        <f>L24+$I$15</f>
        <v>16.025000000000002</v>
      </c>
      <c r="L25" s="11">
        <f t="shared" si="17"/>
        <v>17.006666666666668</v>
      </c>
      <c r="M25" s="11">
        <f t="shared" si="5"/>
        <v>0.98166666666666558</v>
      </c>
      <c r="N25" s="12">
        <f t="shared" si="22"/>
        <v>16.020000000000003</v>
      </c>
      <c r="O25" s="12">
        <f t="shared" si="0"/>
        <v>17.01166666666667</v>
      </c>
      <c r="P25" s="11">
        <f t="shared" si="6"/>
        <v>0.99166666666666714</v>
      </c>
      <c r="Q25" s="11">
        <f t="shared" si="7"/>
        <v>16.515833333333337</v>
      </c>
      <c r="R25" s="13">
        <v>0</v>
      </c>
      <c r="S25" s="13">
        <f t="shared" si="8"/>
        <v>100</v>
      </c>
      <c r="T25" s="15">
        <f t="shared" si="1"/>
        <v>0</v>
      </c>
      <c r="U25" s="17">
        <f t="shared" si="9"/>
        <v>1</v>
      </c>
      <c r="V25" s="20">
        <f t="shared" si="2"/>
        <v>0</v>
      </c>
      <c r="W25" s="15">
        <f t="shared" si="3"/>
        <v>0</v>
      </c>
      <c r="X25" s="50">
        <v>10</v>
      </c>
      <c r="Y25" s="14">
        <f>R25*Q25</f>
        <v>0</v>
      </c>
      <c r="Z25" s="14">
        <f t="shared" si="10"/>
        <v>16.025000000000002</v>
      </c>
      <c r="AA25" s="14">
        <f t="shared" si="11"/>
        <v>17.006666666666668</v>
      </c>
      <c r="AB25" s="176">
        <f>IF(U25&gt;=$AJ$12,J25,0)</f>
        <v>10</v>
      </c>
      <c r="AC25" s="176">
        <f t="shared" si="23"/>
        <v>0</v>
      </c>
      <c r="AD25" s="176">
        <f t="shared" si="13"/>
        <v>0</v>
      </c>
      <c r="AE25" s="176">
        <f>R26</f>
        <v>0</v>
      </c>
      <c r="AF25" s="176">
        <f t="shared" si="24"/>
        <v>0</v>
      </c>
      <c r="AG25" s="175" t="e">
        <f t="shared" si="18"/>
        <v>#DIV/0!</v>
      </c>
      <c r="AH25" s="175">
        <f t="shared" si="4"/>
        <v>0</v>
      </c>
      <c r="AI25" s="176">
        <f>S24</f>
        <v>100</v>
      </c>
      <c r="AJ25" s="176">
        <f>S25</f>
        <v>100</v>
      </c>
      <c r="AK25" s="14">
        <f>L25-L24</f>
        <v>0.99166666666666714</v>
      </c>
      <c r="AL25" s="176">
        <f t="shared" si="19"/>
        <v>0</v>
      </c>
      <c r="AM25" s="176">
        <f>($AI$10/$AI$11)*$AJ$10</f>
        <v>50</v>
      </c>
      <c r="AN25" s="176">
        <f t="shared" si="20"/>
        <v>-50</v>
      </c>
      <c r="AO25" s="77" t="e">
        <f>Z25+AK25/AL25*AN25</f>
        <v>#DIV/0!</v>
      </c>
      <c r="AP25" s="191">
        <f>IF(AB25=0,0,IF(AN25&lt;0,0,AO25))</f>
        <v>0</v>
      </c>
      <c r="AQ25" s="14">
        <f>R25*(Q25-$Y$9)</f>
        <v>0</v>
      </c>
      <c r="AR25" s="14">
        <f t="shared" si="21"/>
        <v>0</v>
      </c>
      <c r="AS25" s="14">
        <f>R25*POWER((Q25-$Y$9),2)</f>
        <v>0</v>
      </c>
    </row>
    <row r="26" spans="1:45" x14ac:dyDescent="0.2">
      <c r="A26" s="23">
        <v>12</v>
      </c>
      <c r="B26" s="2">
        <v>8.8000000000000007</v>
      </c>
      <c r="C26" s="2">
        <v>8.8000000000000007</v>
      </c>
      <c r="D26" s="2">
        <v>10.89</v>
      </c>
      <c r="G26" s="62"/>
      <c r="H26" s="63"/>
      <c r="I26" s="63"/>
      <c r="J26" s="50">
        <v>11</v>
      </c>
      <c r="K26" s="11">
        <f>L25+$I$15</f>
        <v>17.016666666666669</v>
      </c>
      <c r="L26" s="11">
        <f t="shared" si="17"/>
        <v>17.998333333333335</v>
      </c>
      <c r="M26" s="11">
        <f t="shared" si="5"/>
        <v>0.98166666666666558</v>
      </c>
      <c r="N26" s="12">
        <f t="shared" si="22"/>
        <v>17.01166666666667</v>
      </c>
      <c r="O26" s="12">
        <f t="shared" si="0"/>
        <v>18.003333333333337</v>
      </c>
      <c r="P26" s="11">
        <f t="shared" si="6"/>
        <v>0.99166666666666714</v>
      </c>
      <c r="Q26" s="11">
        <f t="shared" si="7"/>
        <v>17.507500000000004</v>
      </c>
      <c r="R26" s="13">
        <v>0</v>
      </c>
      <c r="S26" s="13">
        <f t="shared" si="8"/>
        <v>100</v>
      </c>
      <c r="T26" s="15">
        <f t="shared" si="1"/>
        <v>0</v>
      </c>
      <c r="U26" s="17">
        <f t="shared" si="9"/>
        <v>1</v>
      </c>
      <c r="V26" s="20">
        <f t="shared" si="2"/>
        <v>0</v>
      </c>
      <c r="W26" s="15">
        <f t="shared" si="3"/>
        <v>0</v>
      </c>
      <c r="X26" s="50">
        <v>11</v>
      </c>
      <c r="Y26" s="14">
        <f>R26*Q26</f>
        <v>0</v>
      </c>
      <c r="Z26" s="14">
        <f t="shared" si="10"/>
        <v>17.016666666666669</v>
      </c>
      <c r="AA26" s="14">
        <f t="shared" si="11"/>
        <v>17.998333333333335</v>
      </c>
      <c r="AB26" s="176">
        <f>IF(U26&gt;=$AJ$12,J26,0)</f>
        <v>11</v>
      </c>
      <c r="AC26" s="176">
        <f t="shared" si="23"/>
        <v>0</v>
      </c>
      <c r="AD26" s="176">
        <f t="shared" si="13"/>
        <v>0</v>
      </c>
      <c r="AE26" s="176">
        <f>R27</f>
        <v>0</v>
      </c>
      <c r="AF26" s="176">
        <f t="shared" si="24"/>
        <v>0</v>
      </c>
      <c r="AG26" s="175" t="e">
        <f t="shared" si="18"/>
        <v>#DIV/0!</v>
      </c>
      <c r="AH26" s="175">
        <f t="shared" si="4"/>
        <v>0</v>
      </c>
      <c r="AI26" s="176">
        <f>S25</f>
        <v>100</v>
      </c>
      <c r="AJ26" s="176">
        <f>S26</f>
        <v>100</v>
      </c>
      <c r="AK26" s="14">
        <f>L26-L25</f>
        <v>0.99166666666666714</v>
      </c>
      <c r="AL26" s="176">
        <f t="shared" si="19"/>
        <v>0</v>
      </c>
      <c r="AM26" s="176">
        <f>($AI$10/$AI$11)*$AJ$10</f>
        <v>50</v>
      </c>
      <c r="AN26" s="176">
        <f t="shared" si="20"/>
        <v>-50</v>
      </c>
      <c r="AO26" s="77" t="e">
        <f>Z26+AK26/AL26*AN26</f>
        <v>#DIV/0!</v>
      </c>
      <c r="AP26" s="191">
        <f>IF(AB26=0,0,IF(AN26&lt;0,0,AO26))</f>
        <v>0</v>
      </c>
      <c r="AQ26" s="14">
        <f>R26*(Q26-$Y$9)</f>
        <v>0</v>
      </c>
      <c r="AR26" s="14">
        <f t="shared" si="21"/>
        <v>0</v>
      </c>
      <c r="AS26" s="14">
        <f>R26*POWER((Q26-$Y$9),2)</f>
        <v>0</v>
      </c>
    </row>
    <row r="27" spans="1:45" x14ac:dyDescent="0.2">
      <c r="A27" s="23">
        <v>13</v>
      </c>
      <c r="B27" s="2">
        <v>8.8000000000000007</v>
      </c>
      <c r="C27" s="2">
        <v>8.8000000000000007</v>
      </c>
      <c r="D27" s="2">
        <v>10.86</v>
      </c>
      <c r="G27" s="62"/>
      <c r="H27" s="63"/>
      <c r="I27" s="63"/>
      <c r="J27" s="50">
        <v>12</v>
      </c>
      <c r="K27" s="11">
        <f>L26+$I$15</f>
        <v>18.008333333333336</v>
      </c>
      <c r="L27" s="11">
        <f t="shared" si="17"/>
        <v>18.990000000000002</v>
      </c>
      <c r="M27" s="11">
        <f t="shared" si="5"/>
        <v>0.98166666666666558</v>
      </c>
      <c r="N27" s="12">
        <f t="shared" si="22"/>
        <v>18.003333333333337</v>
      </c>
      <c r="O27" s="12">
        <f t="shared" si="0"/>
        <v>18.995000000000005</v>
      </c>
      <c r="P27" s="11">
        <f t="shared" si="6"/>
        <v>0.99166666666666714</v>
      </c>
      <c r="Q27" s="11">
        <f t="shared" si="7"/>
        <v>18.499166666666671</v>
      </c>
      <c r="R27" s="13">
        <v>0</v>
      </c>
      <c r="S27" s="13">
        <f t="shared" si="8"/>
        <v>100</v>
      </c>
      <c r="T27" s="15">
        <f t="shared" si="1"/>
        <v>0</v>
      </c>
      <c r="U27" s="17">
        <f t="shared" si="9"/>
        <v>1</v>
      </c>
      <c r="V27" s="20">
        <f t="shared" si="2"/>
        <v>0</v>
      </c>
      <c r="W27" s="15">
        <f t="shared" si="3"/>
        <v>0</v>
      </c>
      <c r="X27" s="50">
        <v>12</v>
      </c>
      <c r="Y27" s="14">
        <f>R27*Q27</f>
        <v>0</v>
      </c>
      <c r="Z27" s="14">
        <f t="shared" si="10"/>
        <v>18.008333333333336</v>
      </c>
      <c r="AA27" s="14">
        <f t="shared" si="11"/>
        <v>18.990000000000002</v>
      </c>
      <c r="AB27" s="176">
        <f>IF(U27&gt;=$AJ$12,J27,0)</f>
        <v>12</v>
      </c>
      <c r="AC27" s="176">
        <f t="shared" si="23"/>
        <v>0</v>
      </c>
      <c r="AD27" s="176">
        <f t="shared" si="13"/>
        <v>0</v>
      </c>
      <c r="AE27" s="176">
        <f>R28</f>
        <v>0</v>
      </c>
      <c r="AF27" s="176">
        <f t="shared" si="24"/>
        <v>0</v>
      </c>
      <c r="AG27" s="175" t="e">
        <f t="shared" si="18"/>
        <v>#DIV/0!</v>
      </c>
      <c r="AH27" s="175">
        <f t="shared" si="4"/>
        <v>0</v>
      </c>
      <c r="AI27" s="176">
        <f>S26</f>
        <v>100</v>
      </c>
      <c r="AJ27" s="176">
        <f>S27</f>
        <v>100</v>
      </c>
      <c r="AK27" s="14">
        <f>L27-L26</f>
        <v>0.99166666666666714</v>
      </c>
      <c r="AL27" s="176">
        <f t="shared" si="19"/>
        <v>0</v>
      </c>
      <c r="AM27" s="176">
        <f>($AI$10/$AI$11)*$AJ$10</f>
        <v>50</v>
      </c>
      <c r="AN27" s="176">
        <f t="shared" si="20"/>
        <v>-50</v>
      </c>
      <c r="AO27" s="77" t="e">
        <f>Z27+AK27/AL27*AN27</f>
        <v>#DIV/0!</v>
      </c>
      <c r="AP27" s="191">
        <f>IF(AB27=0,0,IF(AN27&lt;0,0,AO27))</f>
        <v>0</v>
      </c>
      <c r="AQ27" s="14">
        <f>R27*(Q27-$Y$9)</f>
        <v>0</v>
      </c>
      <c r="AR27" s="14">
        <f t="shared" si="21"/>
        <v>0</v>
      </c>
      <c r="AS27" s="14">
        <f>R27*POWER((Q27-$Y$9),2)</f>
        <v>0</v>
      </c>
    </row>
    <row r="28" spans="1:45" x14ac:dyDescent="0.2">
      <c r="A28" s="23">
        <v>14</v>
      </c>
      <c r="B28" s="2">
        <v>8.84</v>
      </c>
      <c r="C28" s="2">
        <v>8.84</v>
      </c>
      <c r="D28" s="2">
        <v>10.81</v>
      </c>
      <c r="G28" s="21"/>
      <c r="H28" s="22"/>
      <c r="I28" s="22"/>
      <c r="J28" s="50">
        <v>13</v>
      </c>
      <c r="K28" s="11">
        <f>L27+$I$15</f>
        <v>19.000000000000004</v>
      </c>
      <c r="L28" s="11">
        <f t="shared" si="17"/>
        <v>19.981666666666669</v>
      </c>
      <c r="M28" s="11">
        <f t="shared" si="5"/>
        <v>0.98166666666666558</v>
      </c>
      <c r="N28" s="12">
        <f t="shared" si="22"/>
        <v>18.995000000000005</v>
      </c>
      <c r="O28" s="12">
        <f t="shared" si="0"/>
        <v>19.986666666666672</v>
      </c>
      <c r="P28" s="11">
        <f t="shared" si="6"/>
        <v>0.99166666666666714</v>
      </c>
      <c r="Q28" s="11">
        <f t="shared" si="7"/>
        <v>19.490833333333338</v>
      </c>
      <c r="R28" s="13">
        <v>0</v>
      </c>
      <c r="S28" s="13">
        <f t="shared" si="8"/>
        <v>100</v>
      </c>
      <c r="T28" s="15">
        <f t="shared" si="1"/>
        <v>0</v>
      </c>
      <c r="U28" s="17">
        <f t="shared" si="9"/>
        <v>1</v>
      </c>
      <c r="V28" s="20">
        <f t="shared" si="2"/>
        <v>0</v>
      </c>
      <c r="W28" s="15">
        <f t="shared" si="3"/>
        <v>0</v>
      </c>
      <c r="X28" s="50">
        <v>13</v>
      </c>
      <c r="Y28" s="14">
        <f>R28*Q28</f>
        <v>0</v>
      </c>
      <c r="Z28" s="14">
        <f t="shared" si="10"/>
        <v>19.000000000000004</v>
      </c>
      <c r="AA28" s="14">
        <f t="shared" si="11"/>
        <v>19.981666666666669</v>
      </c>
      <c r="AB28" s="176">
        <f>IF(U28&gt;=$AJ$12,J28,0)</f>
        <v>13</v>
      </c>
      <c r="AC28" s="176">
        <f t="shared" si="23"/>
        <v>0</v>
      </c>
      <c r="AD28" s="176">
        <f t="shared" si="13"/>
        <v>0</v>
      </c>
      <c r="AE28" s="176">
        <f>R29</f>
        <v>0</v>
      </c>
      <c r="AF28" s="176">
        <f t="shared" si="24"/>
        <v>0</v>
      </c>
      <c r="AG28" s="175" t="e">
        <f t="shared" si="18"/>
        <v>#DIV/0!</v>
      </c>
      <c r="AH28" s="175">
        <f t="shared" si="4"/>
        <v>0</v>
      </c>
      <c r="AI28" s="176">
        <f>S27</f>
        <v>100</v>
      </c>
      <c r="AJ28" s="176">
        <f>S28</f>
        <v>100</v>
      </c>
      <c r="AK28" s="14">
        <f>L28-L27</f>
        <v>0.99166666666666714</v>
      </c>
      <c r="AL28" s="176">
        <f t="shared" si="19"/>
        <v>0</v>
      </c>
      <c r="AM28" s="176">
        <f>($AI$10/$AI$11)*$AJ$10</f>
        <v>50</v>
      </c>
      <c r="AN28" s="176">
        <f t="shared" si="20"/>
        <v>-50</v>
      </c>
      <c r="AO28" s="77" t="e">
        <f>Z28+AK28/AL28*AN28</f>
        <v>#DIV/0!</v>
      </c>
      <c r="AP28" s="191">
        <f>IF(AB28=0,0,IF(AN28&lt;0,0,AO28))</f>
        <v>0</v>
      </c>
      <c r="AQ28" s="14">
        <f>R28*(Q28-$Y$9)</f>
        <v>0</v>
      </c>
      <c r="AR28" s="14">
        <f t="shared" si="21"/>
        <v>0</v>
      </c>
      <c r="AS28" s="14">
        <f>R28*POWER((Q28-$Y$9),2)</f>
        <v>0</v>
      </c>
    </row>
    <row r="29" spans="1:45" x14ac:dyDescent="0.2">
      <c r="A29" s="23">
        <v>15</v>
      </c>
      <c r="B29" s="2">
        <v>8.84</v>
      </c>
      <c r="C29" s="2">
        <v>8.84</v>
      </c>
      <c r="D29" s="2">
        <v>10.79</v>
      </c>
      <c r="G29" s="21"/>
      <c r="H29" s="22"/>
      <c r="I29" s="22"/>
      <c r="J29" s="50">
        <v>14</v>
      </c>
      <c r="K29" s="11">
        <f>L28+$I$15</f>
        <v>19.991666666666671</v>
      </c>
      <c r="L29" s="11">
        <f t="shared" si="17"/>
        <v>20.973333333333336</v>
      </c>
      <c r="M29" s="11">
        <f t="shared" si="5"/>
        <v>0.98166666666666558</v>
      </c>
      <c r="N29" s="12">
        <f t="shared" si="22"/>
        <v>19.986666666666672</v>
      </c>
      <c r="O29" s="12">
        <f t="shared" si="0"/>
        <v>20.978333333333339</v>
      </c>
      <c r="P29" s="11">
        <f t="shared" si="6"/>
        <v>0.99166666666666714</v>
      </c>
      <c r="Q29" s="11">
        <f t="shared" si="7"/>
        <v>20.482500000000005</v>
      </c>
      <c r="R29" s="13">
        <v>0</v>
      </c>
      <c r="S29" s="13">
        <f t="shared" si="8"/>
        <v>100</v>
      </c>
      <c r="T29" s="15">
        <f t="shared" si="1"/>
        <v>0</v>
      </c>
      <c r="U29" s="17">
        <f t="shared" si="9"/>
        <v>1</v>
      </c>
      <c r="V29" s="20">
        <f t="shared" si="2"/>
        <v>0</v>
      </c>
      <c r="W29" s="15">
        <f t="shared" si="3"/>
        <v>0</v>
      </c>
      <c r="X29" s="50">
        <v>14</v>
      </c>
      <c r="Y29" s="14">
        <f>R29*Q29</f>
        <v>0</v>
      </c>
      <c r="Z29" s="14">
        <f t="shared" si="10"/>
        <v>19.991666666666671</v>
      </c>
      <c r="AA29" s="14">
        <f t="shared" si="11"/>
        <v>20.973333333333336</v>
      </c>
      <c r="AB29" s="176">
        <f>IF(U29&gt;=$AJ$12,J29,0)</f>
        <v>14</v>
      </c>
      <c r="AC29" s="176">
        <f t="shared" si="23"/>
        <v>0</v>
      </c>
      <c r="AD29" s="176">
        <f t="shared" si="13"/>
        <v>0</v>
      </c>
      <c r="AE29" s="176">
        <f>R30</f>
        <v>0</v>
      </c>
      <c r="AF29" s="176">
        <f t="shared" si="24"/>
        <v>0</v>
      </c>
      <c r="AG29" s="175" t="e">
        <f t="shared" si="18"/>
        <v>#DIV/0!</v>
      </c>
      <c r="AH29" s="175">
        <f t="shared" si="4"/>
        <v>0</v>
      </c>
      <c r="AI29" s="176">
        <f>S28</f>
        <v>100</v>
      </c>
      <c r="AJ29" s="176">
        <f>S29</f>
        <v>100</v>
      </c>
      <c r="AK29" s="14">
        <f>L29-L28</f>
        <v>0.99166666666666714</v>
      </c>
      <c r="AL29" s="176">
        <f t="shared" si="19"/>
        <v>0</v>
      </c>
      <c r="AM29" s="176">
        <f>($AI$10/$AI$11)*$AJ$10</f>
        <v>50</v>
      </c>
      <c r="AN29" s="176">
        <f t="shared" si="20"/>
        <v>-50</v>
      </c>
      <c r="AO29" s="77" t="e">
        <f>Z29+AK29/AL29*AN29</f>
        <v>#DIV/0!</v>
      </c>
      <c r="AP29" s="191">
        <f>IF(AB29=0,0,IF(AN29&lt;0,0,AO29))</f>
        <v>0</v>
      </c>
      <c r="AQ29" s="14">
        <f>R29*(Q29-$Y$9)</f>
        <v>0</v>
      </c>
      <c r="AR29" s="14">
        <f t="shared" si="21"/>
        <v>0</v>
      </c>
      <c r="AS29" s="14">
        <f>R29*POWER((Q29-$Y$9),2)</f>
        <v>0</v>
      </c>
    </row>
    <row r="30" spans="1:45" x14ac:dyDescent="0.2">
      <c r="A30" s="23">
        <v>16</v>
      </c>
      <c r="B30" s="2">
        <v>8.89</v>
      </c>
      <c r="C30" s="2">
        <v>8.89</v>
      </c>
      <c r="D30" s="2">
        <v>10.77</v>
      </c>
      <c r="J30" s="50">
        <v>15</v>
      </c>
      <c r="K30" s="11">
        <f>L29+$I$15</f>
        <v>20.983333333333338</v>
      </c>
      <c r="L30" s="11">
        <f t="shared" si="17"/>
        <v>21.965000000000003</v>
      </c>
      <c r="M30" s="11">
        <f t="shared" si="5"/>
        <v>0.98166666666666558</v>
      </c>
      <c r="N30" s="12">
        <f t="shared" si="22"/>
        <v>20.978333333333339</v>
      </c>
      <c r="O30" s="12">
        <f t="shared" si="0"/>
        <v>21.970000000000006</v>
      </c>
      <c r="P30" s="11">
        <f t="shared" si="6"/>
        <v>0.99166666666666714</v>
      </c>
      <c r="Q30" s="11">
        <f t="shared" si="7"/>
        <v>21.474166666666672</v>
      </c>
      <c r="R30" s="13">
        <v>0</v>
      </c>
      <c r="S30" s="13">
        <f t="shared" si="8"/>
        <v>100</v>
      </c>
      <c r="T30" s="15">
        <f t="shared" si="1"/>
        <v>0</v>
      </c>
      <c r="U30" s="17">
        <f t="shared" si="9"/>
        <v>1</v>
      </c>
      <c r="V30" s="20">
        <f t="shared" si="2"/>
        <v>0</v>
      </c>
      <c r="W30" s="15">
        <f t="shared" si="3"/>
        <v>0</v>
      </c>
      <c r="X30" s="50">
        <v>15</v>
      </c>
      <c r="Y30" s="14">
        <f>R30*Q30</f>
        <v>0</v>
      </c>
      <c r="Z30" s="14">
        <f t="shared" si="10"/>
        <v>20.983333333333338</v>
      </c>
      <c r="AA30" s="14">
        <f t="shared" si="11"/>
        <v>21.965000000000003</v>
      </c>
      <c r="AB30" s="176">
        <f>IF(U30&gt;=$AJ$12,J30,0)</f>
        <v>15</v>
      </c>
      <c r="AC30" s="176">
        <f t="shared" si="23"/>
        <v>0</v>
      </c>
      <c r="AD30" s="176">
        <f t="shared" si="13"/>
        <v>0</v>
      </c>
      <c r="AE30" s="176">
        <f>R31</f>
        <v>0</v>
      </c>
      <c r="AF30" s="176">
        <f t="shared" si="24"/>
        <v>0</v>
      </c>
      <c r="AG30" s="175" t="e">
        <f t="shared" si="18"/>
        <v>#DIV/0!</v>
      </c>
      <c r="AH30" s="175">
        <f t="shared" si="4"/>
        <v>0</v>
      </c>
      <c r="AI30" s="176">
        <f>S29</f>
        <v>100</v>
      </c>
      <c r="AJ30" s="176">
        <f>S30</f>
        <v>100</v>
      </c>
      <c r="AK30" s="14">
        <f>L30-L29</f>
        <v>0.99166666666666714</v>
      </c>
      <c r="AL30" s="176">
        <f t="shared" si="19"/>
        <v>0</v>
      </c>
      <c r="AM30" s="176">
        <f>($AI$10/$AI$11)*$AJ$10</f>
        <v>50</v>
      </c>
      <c r="AN30" s="176">
        <f t="shared" si="20"/>
        <v>-50</v>
      </c>
      <c r="AO30" s="77" t="e">
        <f>Z30+AK30/AL30*AN30</f>
        <v>#DIV/0!</v>
      </c>
      <c r="AP30" s="191">
        <f>IF(AB30=0,0,IF(AN30&lt;0,0,AO30))</f>
        <v>0</v>
      </c>
      <c r="AQ30" s="14">
        <f>R30*(Q30-$Y$9)</f>
        <v>0</v>
      </c>
      <c r="AR30" s="14">
        <f t="shared" si="21"/>
        <v>0</v>
      </c>
      <c r="AS30" s="14">
        <f>R30*POWER((Q30-$Y$9),2)</f>
        <v>0</v>
      </c>
    </row>
    <row r="31" spans="1:45" x14ac:dyDescent="0.2">
      <c r="A31" s="23">
        <v>17</v>
      </c>
      <c r="B31" s="2">
        <v>8.9</v>
      </c>
      <c r="C31" s="2">
        <v>8.9</v>
      </c>
      <c r="D31" s="2">
        <v>10.76</v>
      </c>
      <c r="J31" s="50">
        <v>16</v>
      </c>
      <c r="K31" s="11">
        <f>L30+$I$15</f>
        <v>21.975000000000005</v>
      </c>
      <c r="L31" s="11">
        <f t="shared" si="17"/>
        <v>22.956666666666671</v>
      </c>
      <c r="M31" s="11">
        <f t="shared" si="5"/>
        <v>0.98166666666666558</v>
      </c>
      <c r="N31" s="12">
        <f t="shared" si="22"/>
        <v>21.970000000000006</v>
      </c>
      <c r="O31" s="12">
        <f t="shared" si="0"/>
        <v>22.961666666666673</v>
      </c>
      <c r="P31" s="11">
        <f t="shared" si="6"/>
        <v>0.99166666666666714</v>
      </c>
      <c r="Q31" s="11">
        <f t="shared" si="7"/>
        <v>22.46583333333334</v>
      </c>
      <c r="R31" s="13">
        <v>0</v>
      </c>
      <c r="S31" s="13">
        <f t="shared" si="8"/>
        <v>100</v>
      </c>
      <c r="T31" s="15">
        <f t="shared" si="1"/>
        <v>0</v>
      </c>
      <c r="U31" s="17">
        <f t="shared" si="9"/>
        <v>1</v>
      </c>
      <c r="V31" s="20">
        <f t="shared" si="2"/>
        <v>0</v>
      </c>
      <c r="W31" s="15">
        <f t="shared" si="3"/>
        <v>0</v>
      </c>
      <c r="X31" s="50">
        <v>16</v>
      </c>
      <c r="Y31" s="14">
        <f>R31*Q31</f>
        <v>0</v>
      </c>
      <c r="Z31" s="14">
        <f t="shared" si="10"/>
        <v>21.975000000000005</v>
      </c>
      <c r="AA31" s="14">
        <f t="shared" si="11"/>
        <v>22.956666666666671</v>
      </c>
      <c r="AB31" s="176">
        <f>IF(U31&gt;=$AJ$12,J31,0)</f>
        <v>16</v>
      </c>
      <c r="AC31" s="176">
        <f t="shared" si="23"/>
        <v>0</v>
      </c>
      <c r="AD31" s="176">
        <f t="shared" si="13"/>
        <v>0</v>
      </c>
      <c r="AE31" s="176">
        <f>R32</f>
        <v>0</v>
      </c>
      <c r="AF31" s="176">
        <f t="shared" si="24"/>
        <v>0</v>
      </c>
      <c r="AG31" s="175" t="e">
        <f t="shared" si="18"/>
        <v>#DIV/0!</v>
      </c>
      <c r="AH31" s="175">
        <f t="shared" si="4"/>
        <v>0</v>
      </c>
      <c r="AI31" s="176">
        <f>S30</f>
        <v>100</v>
      </c>
      <c r="AJ31" s="176">
        <f>S31</f>
        <v>100</v>
      </c>
      <c r="AK31" s="14">
        <f>L31-L30</f>
        <v>0.99166666666666714</v>
      </c>
      <c r="AL31" s="176">
        <f t="shared" si="19"/>
        <v>0</v>
      </c>
      <c r="AM31" s="176">
        <f>($AI$10/$AI$11)*$AJ$10</f>
        <v>50</v>
      </c>
      <c r="AN31" s="176">
        <f t="shared" si="20"/>
        <v>-50</v>
      </c>
      <c r="AO31" s="77" t="e">
        <f>Z31+AK31/AL31*AN31</f>
        <v>#DIV/0!</v>
      </c>
      <c r="AP31" s="191">
        <f>IF(AB31=0,0,IF(AN31&lt;0,0,AO31))</f>
        <v>0</v>
      </c>
      <c r="AQ31" s="14">
        <f>R31*(Q31-$Y$9)</f>
        <v>0</v>
      </c>
      <c r="AR31" s="14">
        <f t="shared" si="21"/>
        <v>0</v>
      </c>
      <c r="AS31" s="14">
        <f>R31*POWER((Q31-$Y$9),2)</f>
        <v>0</v>
      </c>
    </row>
    <row r="32" spans="1:45" x14ac:dyDescent="0.2">
      <c r="A32" s="23">
        <v>18</v>
      </c>
      <c r="B32" s="2">
        <v>8.9600000000000009</v>
      </c>
      <c r="C32" s="2">
        <v>8.9600000000000009</v>
      </c>
      <c r="D32" s="2">
        <v>10.74</v>
      </c>
      <c r="J32" s="50">
        <v>17</v>
      </c>
      <c r="K32" s="11">
        <f>L31+$I$15</f>
        <v>22.966666666666672</v>
      </c>
      <c r="L32" s="11">
        <f t="shared" si="17"/>
        <v>23.948333333333338</v>
      </c>
      <c r="M32" s="11">
        <f t="shared" si="5"/>
        <v>0.98166666666666558</v>
      </c>
      <c r="N32" s="12">
        <f t="shared" si="22"/>
        <v>22.961666666666673</v>
      </c>
      <c r="O32" s="12">
        <f t="shared" si="0"/>
        <v>23.95333333333334</v>
      </c>
      <c r="P32" s="11">
        <f t="shared" si="6"/>
        <v>0.99166666666666714</v>
      </c>
      <c r="Q32" s="11">
        <f t="shared" si="7"/>
        <v>23.457500000000007</v>
      </c>
      <c r="R32" s="13">
        <v>0</v>
      </c>
      <c r="S32" s="13">
        <f t="shared" si="8"/>
        <v>100</v>
      </c>
      <c r="T32" s="15">
        <f t="shared" si="1"/>
        <v>0</v>
      </c>
      <c r="U32" s="17">
        <f t="shared" si="9"/>
        <v>1</v>
      </c>
      <c r="V32" s="20">
        <f t="shared" si="2"/>
        <v>0</v>
      </c>
      <c r="W32" s="15">
        <f t="shared" si="3"/>
        <v>0</v>
      </c>
      <c r="X32" s="50">
        <v>17</v>
      </c>
      <c r="Y32" s="14">
        <f>R32*Q32</f>
        <v>0</v>
      </c>
      <c r="Z32" s="14">
        <f t="shared" si="10"/>
        <v>22.966666666666672</v>
      </c>
      <c r="AA32" s="14">
        <f t="shared" si="11"/>
        <v>23.948333333333338</v>
      </c>
      <c r="AB32" s="176">
        <f>IF(U32&gt;=$AJ$12,J32,0)</f>
        <v>17</v>
      </c>
      <c r="AC32" s="176">
        <f t="shared" si="23"/>
        <v>0</v>
      </c>
      <c r="AD32" s="176">
        <f t="shared" si="13"/>
        <v>0</v>
      </c>
      <c r="AE32" s="176">
        <f>R33</f>
        <v>0</v>
      </c>
      <c r="AF32" s="176">
        <f t="shared" si="24"/>
        <v>0</v>
      </c>
      <c r="AG32" s="175" t="e">
        <f t="shared" si="18"/>
        <v>#DIV/0!</v>
      </c>
      <c r="AH32" s="175">
        <f t="shared" si="4"/>
        <v>0</v>
      </c>
      <c r="AI32" s="176">
        <f>S31</f>
        <v>100</v>
      </c>
      <c r="AJ32" s="176">
        <f>S32</f>
        <v>100</v>
      </c>
      <c r="AK32" s="14">
        <f>L32-L31</f>
        <v>0.99166666666666714</v>
      </c>
      <c r="AL32" s="176">
        <f t="shared" si="19"/>
        <v>0</v>
      </c>
      <c r="AM32" s="176">
        <f>($AI$10/$AI$11)*$AJ$10</f>
        <v>50</v>
      </c>
      <c r="AN32" s="176">
        <f t="shared" si="20"/>
        <v>-50</v>
      </c>
      <c r="AO32" s="77" t="e">
        <f>Z32+AK32/AL32*AN32</f>
        <v>#DIV/0!</v>
      </c>
      <c r="AP32" s="191">
        <f>IF(AB32=0,0,IF(AN32&lt;0,0,AO32))</f>
        <v>0</v>
      </c>
      <c r="AQ32" s="14">
        <f>R32*(Q32-$Y$9)</f>
        <v>0</v>
      </c>
      <c r="AR32" s="14">
        <f t="shared" si="21"/>
        <v>0</v>
      </c>
      <c r="AS32" s="14">
        <f>R32*POWER((Q32-$Y$9),2)</f>
        <v>0</v>
      </c>
    </row>
    <row r="33" spans="1:45" x14ac:dyDescent="0.2">
      <c r="A33" s="23">
        <v>19</v>
      </c>
      <c r="B33" s="2">
        <v>8.9600000000000009</v>
      </c>
      <c r="C33" s="2">
        <v>8.9600000000000009</v>
      </c>
      <c r="D33" s="2">
        <v>10.7</v>
      </c>
      <c r="J33" s="50">
        <v>18</v>
      </c>
      <c r="K33" s="11">
        <f>L32+$I$15</f>
        <v>23.958333333333339</v>
      </c>
      <c r="L33" s="11">
        <f t="shared" si="17"/>
        <v>24.940000000000005</v>
      </c>
      <c r="M33" s="11">
        <f t="shared" si="5"/>
        <v>0.98166666666666558</v>
      </c>
      <c r="N33" s="12">
        <f t="shared" si="22"/>
        <v>23.95333333333334</v>
      </c>
      <c r="O33" s="12">
        <f t="shared" si="0"/>
        <v>24.945000000000007</v>
      </c>
      <c r="P33" s="11">
        <f t="shared" si="6"/>
        <v>0.99166666666666714</v>
      </c>
      <c r="Q33" s="11">
        <f t="shared" si="7"/>
        <v>24.449166666666674</v>
      </c>
      <c r="R33" s="13">
        <v>0</v>
      </c>
      <c r="S33" s="13">
        <f t="shared" si="8"/>
        <v>100</v>
      </c>
      <c r="T33" s="15">
        <f t="shared" si="1"/>
        <v>0</v>
      </c>
      <c r="U33" s="17">
        <f t="shared" si="9"/>
        <v>1</v>
      </c>
      <c r="V33" s="20">
        <f t="shared" si="2"/>
        <v>0</v>
      </c>
      <c r="W33" s="15">
        <f t="shared" si="3"/>
        <v>0</v>
      </c>
      <c r="X33" s="50">
        <v>18</v>
      </c>
      <c r="Y33" s="14">
        <f>R33*Q33</f>
        <v>0</v>
      </c>
      <c r="Z33" s="14">
        <f t="shared" si="10"/>
        <v>23.958333333333339</v>
      </c>
      <c r="AA33" s="14">
        <f t="shared" si="11"/>
        <v>24.940000000000005</v>
      </c>
      <c r="AB33" s="176">
        <f>IF(U33&gt;=$AJ$12,J33,0)</f>
        <v>18</v>
      </c>
      <c r="AC33" s="176">
        <f t="shared" si="23"/>
        <v>0</v>
      </c>
      <c r="AD33" s="176">
        <f t="shared" si="13"/>
        <v>0</v>
      </c>
      <c r="AE33" s="176">
        <f>R34</f>
        <v>0</v>
      </c>
      <c r="AF33" s="176">
        <f t="shared" si="24"/>
        <v>0</v>
      </c>
      <c r="AG33" s="175" t="e">
        <f t="shared" si="18"/>
        <v>#DIV/0!</v>
      </c>
      <c r="AH33" s="175">
        <f t="shared" si="4"/>
        <v>0</v>
      </c>
      <c r="AI33" s="176">
        <f>S32</f>
        <v>100</v>
      </c>
      <c r="AJ33" s="176">
        <f>S33</f>
        <v>100</v>
      </c>
      <c r="AK33" s="14">
        <f>L33-L32</f>
        <v>0.99166666666666714</v>
      </c>
      <c r="AL33" s="176">
        <f t="shared" si="19"/>
        <v>0</v>
      </c>
      <c r="AM33" s="176">
        <f>($AI$10/$AI$11)*$AJ$10</f>
        <v>50</v>
      </c>
      <c r="AN33" s="176">
        <f t="shared" si="20"/>
        <v>-50</v>
      </c>
      <c r="AO33" s="77" t="e">
        <f>Z33+AK33/AL33*AN33</f>
        <v>#DIV/0!</v>
      </c>
      <c r="AP33" s="191">
        <f>IF(AB33=0,0,IF(AN33&lt;0,0,AO33))</f>
        <v>0</v>
      </c>
      <c r="AQ33" s="14">
        <f>R33*(Q33-$Y$9)</f>
        <v>0</v>
      </c>
      <c r="AR33" s="14">
        <f t="shared" si="21"/>
        <v>0</v>
      </c>
      <c r="AS33" s="14">
        <f>R33*POWER((Q33-$Y$9),2)</f>
        <v>0</v>
      </c>
    </row>
    <row r="34" spans="1:45" x14ac:dyDescent="0.2">
      <c r="A34" s="23">
        <v>20</v>
      </c>
      <c r="B34" s="2">
        <v>8.99</v>
      </c>
      <c r="C34" s="2">
        <v>8.99</v>
      </c>
      <c r="D34" s="2">
        <v>10.67</v>
      </c>
      <c r="J34" s="50">
        <v>19</v>
      </c>
      <c r="K34" s="11">
        <f>L33+$I$15</f>
        <v>24.950000000000006</v>
      </c>
      <c r="L34" s="11">
        <f t="shared" si="17"/>
        <v>25.931666666666672</v>
      </c>
      <c r="M34" s="11">
        <f t="shared" si="5"/>
        <v>0.98166666666666558</v>
      </c>
      <c r="N34" s="12">
        <f t="shared" si="22"/>
        <v>24.945000000000007</v>
      </c>
      <c r="O34" s="12">
        <f t="shared" si="0"/>
        <v>25.936666666666675</v>
      </c>
      <c r="P34" s="11">
        <f t="shared" si="6"/>
        <v>0.99166666666666714</v>
      </c>
      <c r="Q34" s="11">
        <f t="shared" si="7"/>
        <v>25.440833333333341</v>
      </c>
      <c r="R34" s="13">
        <v>0</v>
      </c>
      <c r="S34" s="13">
        <f t="shared" si="8"/>
        <v>100</v>
      </c>
      <c r="T34" s="15">
        <f t="shared" si="1"/>
        <v>0</v>
      </c>
      <c r="U34" s="17">
        <f t="shared" si="9"/>
        <v>1</v>
      </c>
      <c r="V34" s="20">
        <f t="shared" si="2"/>
        <v>0</v>
      </c>
      <c r="W34" s="15">
        <f t="shared" si="3"/>
        <v>0</v>
      </c>
      <c r="X34" s="50">
        <v>19</v>
      </c>
      <c r="Y34" s="14">
        <f>R34*Q34</f>
        <v>0</v>
      </c>
      <c r="Z34" s="14">
        <f t="shared" si="10"/>
        <v>24.950000000000006</v>
      </c>
      <c r="AA34" s="14">
        <f t="shared" si="11"/>
        <v>25.931666666666672</v>
      </c>
      <c r="AB34" s="176">
        <f>IF(U34&gt;=$AJ$12,J34,0)</f>
        <v>19</v>
      </c>
      <c r="AC34" s="176">
        <f t="shared" si="23"/>
        <v>0</v>
      </c>
      <c r="AD34" s="176">
        <f t="shared" si="13"/>
        <v>0</v>
      </c>
      <c r="AE34" s="176">
        <f>R35</f>
        <v>0</v>
      </c>
      <c r="AF34" s="176">
        <f t="shared" si="24"/>
        <v>0</v>
      </c>
      <c r="AG34" s="175" t="e">
        <f t="shared" si="18"/>
        <v>#DIV/0!</v>
      </c>
      <c r="AH34" s="175">
        <f t="shared" si="4"/>
        <v>0</v>
      </c>
      <c r="AI34" s="176">
        <f>S33</f>
        <v>100</v>
      </c>
      <c r="AJ34" s="176">
        <f>S34</f>
        <v>100</v>
      </c>
      <c r="AK34" s="14">
        <f>L34-L33</f>
        <v>0.99166666666666714</v>
      </c>
      <c r="AL34" s="176">
        <f t="shared" si="19"/>
        <v>0</v>
      </c>
      <c r="AM34" s="176">
        <f>($AI$10/$AI$11)*$AJ$10</f>
        <v>50</v>
      </c>
      <c r="AN34" s="176">
        <f t="shared" si="20"/>
        <v>-50</v>
      </c>
      <c r="AO34" s="77" t="e">
        <f>Z34+AK34/AL34*AN34</f>
        <v>#DIV/0!</v>
      </c>
      <c r="AP34" s="191">
        <f>IF(AB34=0,0,IF(AN34&lt;0,0,AO34))</f>
        <v>0</v>
      </c>
      <c r="AQ34" s="14">
        <f>R34*(Q34-$Y$9)</f>
        <v>0</v>
      </c>
      <c r="AR34" s="14">
        <f t="shared" si="21"/>
        <v>0</v>
      </c>
      <c r="AS34" s="14">
        <f>R34*POWER((Q34-$Y$9),2)</f>
        <v>0</v>
      </c>
    </row>
    <row r="35" spans="1:45" x14ac:dyDescent="0.2">
      <c r="A35" s="9">
        <v>21</v>
      </c>
      <c r="B35" s="2">
        <v>9.0500000000000007</v>
      </c>
      <c r="C35" s="2">
        <v>9.0500000000000007</v>
      </c>
      <c r="D35" s="2">
        <v>10.56</v>
      </c>
      <c r="J35" s="50">
        <v>20</v>
      </c>
      <c r="K35" s="11">
        <f>L34+$I$15</f>
        <v>25.941666666666674</v>
      </c>
      <c r="L35" s="11">
        <f t="shared" si="17"/>
        <v>26.923333333333339</v>
      </c>
      <c r="M35" s="11">
        <f t="shared" si="5"/>
        <v>0.98166666666666558</v>
      </c>
      <c r="N35" s="12">
        <f t="shared" si="22"/>
        <v>25.936666666666675</v>
      </c>
      <c r="O35" s="12">
        <f t="shared" si="0"/>
        <v>26.928333333333342</v>
      </c>
      <c r="P35" s="11">
        <f t="shared" si="6"/>
        <v>0.99166666666666714</v>
      </c>
      <c r="Q35" s="11">
        <f t="shared" si="7"/>
        <v>26.432500000000008</v>
      </c>
      <c r="R35" s="13">
        <v>0</v>
      </c>
      <c r="S35" s="13">
        <f t="shared" si="8"/>
        <v>100</v>
      </c>
      <c r="T35" s="15">
        <f t="shared" si="1"/>
        <v>0</v>
      </c>
      <c r="U35" s="17">
        <f t="shared" si="9"/>
        <v>1</v>
      </c>
      <c r="V35" s="20">
        <f t="shared" si="2"/>
        <v>0</v>
      </c>
      <c r="W35" s="15">
        <f t="shared" si="3"/>
        <v>0</v>
      </c>
      <c r="X35" s="50">
        <v>20</v>
      </c>
      <c r="Y35" s="14">
        <f>R35*Q35</f>
        <v>0</v>
      </c>
      <c r="Z35" s="14">
        <f t="shared" si="10"/>
        <v>25.941666666666674</v>
      </c>
      <c r="AA35" s="14">
        <f t="shared" si="11"/>
        <v>26.923333333333339</v>
      </c>
      <c r="AB35" s="176">
        <f>IF(U35&gt;=$AJ$12,J35,0)</f>
        <v>20</v>
      </c>
      <c r="AC35" s="176">
        <f t="shared" si="23"/>
        <v>0</v>
      </c>
      <c r="AD35" s="176">
        <f t="shared" si="13"/>
        <v>0</v>
      </c>
      <c r="AE35" s="176">
        <f>R36</f>
        <v>0</v>
      </c>
      <c r="AF35" s="176">
        <f t="shared" si="24"/>
        <v>0</v>
      </c>
      <c r="AG35" s="175" t="e">
        <f t="shared" si="18"/>
        <v>#DIV/0!</v>
      </c>
      <c r="AH35" s="175">
        <f t="shared" si="4"/>
        <v>0</v>
      </c>
      <c r="AI35" s="176">
        <f>S34</f>
        <v>100</v>
      </c>
      <c r="AJ35" s="176">
        <f>S35</f>
        <v>100</v>
      </c>
      <c r="AK35" s="14">
        <f>L35-L34</f>
        <v>0.99166666666666714</v>
      </c>
      <c r="AL35" s="176">
        <f t="shared" si="19"/>
        <v>0</v>
      </c>
      <c r="AM35" s="176">
        <f>($AI$10/$AI$11)*$AJ$10</f>
        <v>50</v>
      </c>
      <c r="AN35" s="176">
        <f t="shared" si="20"/>
        <v>-50</v>
      </c>
      <c r="AO35" s="77" t="e">
        <f>Z35+AK35/AL35*AN35</f>
        <v>#DIV/0!</v>
      </c>
      <c r="AP35" s="191">
        <f>IF(AB35=0,0,IF(AN35&lt;0,0,AO35))</f>
        <v>0</v>
      </c>
      <c r="AQ35" s="14">
        <f>R35*(Q35-$Y$9)</f>
        <v>0</v>
      </c>
      <c r="AR35" s="14">
        <f t="shared" si="21"/>
        <v>0</v>
      </c>
      <c r="AS35" s="14">
        <f>R35*POWER((Q35-$Y$9),2)</f>
        <v>0</v>
      </c>
    </row>
    <row r="36" spans="1:45" x14ac:dyDescent="0.2">
      <c r="A36" s="9">
        <v>22</v>
      </c>
      <c r="B36" s="2">
        <v>9.07</v>
      </c>
      <c r="C36" s="2">
        <v>9.07</v>
      </c>
      <c r="D36" s="2">
        <v>10.56</v>
      </c>
      <c r="J36" s="50">
        <v>21</v>
      </c>
      <c r="K36" s="11">
        <f>L35+$I$15</f>
        <v>26.933333333333341</v>
      </c>
      <c r="L36" s="11">
        <f t="shared" si="17"/>
        <v>27.915000000000006</v>
      </c>
      <c r="M36" s="11">
        <f t="shared" si="5"/>
        <v>0.98166666666666558</v>
      </c>
      <c r="N36" s="12">
        <f t="shared" si="22"/>
        <v>26.928333333333342</v>
      </c>
      <c r="O36" s="12">
        <f t="shared" si="0"/>
        <v>27.920000000000009</v>
      </c>
      <c r="P36" s="11">
        <f t="shared" si="6"/>
        <v>0.99166666666666714</v>
      </c>
      <c r="Q36" s="11">
        <f t="shared" si="7"/>
        <v>27.424166666666675</v>
      </c>
      <c r="R36" s="13">
        <v>0</v>
      </c>
      <c r="S36" s="13">
        <f t="shared" si="8"/>
        <v>100</v>
      </c>
      <c r="T36" s="15">
        <f t="shared" si="1"/>
        <v>0</v>
      </c>
      <c r="U36" s="17">
        <f t="shared" si="9"/>
        <v>1</v>
      </c>
      <c r="V36" s="20">
        <f t="shared" si="2"/>
        <v>0</v>
      </c>
      <c r="W36" s="15">
        <f t="shared" si="3"/>
        <v>0</v>
      </c>
      <c r="X36" s="50">
        <v>21</v>
      </c>
      <c r="Y36" s="14">
        <f>R36*Q36</f>
        <v>0</v>
      </c>
      <c r="Z36" s="14">
        <f t="shared" si="10"/>
        <v>26.933333333333341</v>
      </c>
      <c r="AA36" s="14">
        <f t="shared" si="11"/>
        <v>27.915000000000006</v>
      </c>
      <c r="AB36" s="176">
        <f>IF(U36&gt;=$AJ$12,J36,0)</f>
        <v>21</v>
      </c>
      <c r="AC36" s="176">
        <f t="shared" si="23"/>
        <v>0</v>
      </c>
      <c r="AD36" s="176">
        <f t="shared" si="13"/>
        <v>0</v>
      </c>
      <c r="AE36" s="176">
        <f>R37</f>
        <v>0</v>
      </c>
      <c r="AF36" s="176">
        <f t="shared" si="24"/>
        <v>0</v>
      </c>
      <c r="AG36" s="175" t="e">
        <f t="shared" si="18"/>
        <v>#DIV/0!</v>
      </c>
      <c r="AH36" s="175">
        <f t="shared" si="4"/>
        <v>0</v>
      </c>
      <c r="AI36" s="176">
        <f>S35</f>
        <v>100</v>
      </c>
      <c r="AJ36" s="176">
        <f>S36</f>
        <v>100</v>
      </c>
      <c r="AK36" s="14">
        <f>L36-L35</f>
        <v>0.99166666666666714</v>
      </c>
      <c r="AL36" s="176">
        <f t="shared" si="19"/>
        <v>0</v>
      </c>
      <c r="AM36" s="176">
        <f>($AI$10/$AI$11)*$AJ$10</f>
        <v>50</v>
      </c>
      <c r="AN36" s="176">
        <f t="shared" si="20"/>
        <v>-50</v>
      </c>
      <c r="AO36" s="77" t="e">
        <f>Z36+AK36/AL36*AN36</f>
        <v>#DIV/0!</v>
      </c>
      <c r="AP36" s="191">
        <f>IF(AB36=0,0,IF(AN36&lt;0,0,AO36))</f>
        <v>0</v>
      </c>
      <c r="AQ36" s="14">
        <f>R36*(Q36-$Y$9)</f>
        <v>0</v>
      </c>
      <c r="AR36" s="14">
        <f t="shared" si="21"/>
        <v>0</v>
      </c>
      <c r="AS36" s="14">
        <f>R36*POWER((Q36-$Y$9),2)</f>
        <v>0</v>
      </c>
    </row>
    <row r="37" spans="1:45" x14ac:dyDescent="0.2">
      <c r="A37" s="9">
        <v>23</v>
      </c>
      <c r="B37" s="2">
        <v>9.1199999999999992</v>
      </c>
      <c r="C37" s="2">
        <v>9.1199999999999992</v>
      </c>
      <c r="D37" s="2">
        <v>10.54</v>
      </c>
      <c r="J37" s="50">
        <v>22</v>
      </c>
      <c r="K37" s="11">
        <f>L36+$I$15</f>
        <v>27.925000000000008</v>
      </c>
      <c r="L37" s="11">
        <f t="shared" si="17"/>
        <v>28.906666666666673</v>
      </c>
      <c r="M37" s="11">
        <f t="shared" si="5"/>
        <v>0.98166666666666558</v>
      </c>
      <c r="N37" s="12">
        <f t="shared" si="22"/>
        <v>27.920000000000009</v>
      </c>
      <c r="O37" s="12">
        <f t="shared" si="0"/>
        <v>28.911666666666676</v>
      </c>
      <c r="P37" s="11">
        <f t="shared" si="6"/>
        <v>0.99166666666666714</v>
      </c>
      <c r="Q37" s="11">
        <f t="shared" si="7"/>
        <v>28.415833333333342</v>
      </c>
      <c r="R37" s="13">
        <v>0</v>
      </c>
      <c r="S37" s="13">
        <f t="shared" si="8"/>
        <v>100</v>
      </c>
      <c r="T37" s="15">
        <f t="shared" si="1"/>
        <v>0</v>
      </c>
      <c r="U37" s="17">
        <f t="shared" si="9"/>
        <v>1</v>
      </c>
      <c r="V37" s="20">
        <f t="shared" si="2"/>
        <v>0</v>
      </c>
      <c r="W37" s="15">
        <f t="shared" si="3"/>
        <v>0</v>
      </c>
      <c r="X37" s="50">
        <v>22</v>
      </c>
      <c r="Y37" s="14">
        <f>R37*Q37</f>
        <v>0</v>
      </c>
      <c r="Z37" s="14">
        <f t="shared" si="10"/>
        <v>27.925000000000008</v>
      </c>
      <c r="AA37" s="14">
        <f t="shared" si="11"/>
        <v>28.906666666666673</v>
      </c>
      <c r="AB37" s="176">
        <f>IF(U37&gt;=$AJ$12,J37,0)</f>
        <v>22</v>
      </c>
      <c r="AC37" s="176">
        <f t="shared" si="23"/>
        <v>0</v>
      </c>
      <c r="AD37" s="176">
        <f t="shared" si="13"/>
        <v>0</v>
      </c>
      <c r="AE37" s="176">
        <f>R38</f>
        <v>0</v>
      </c>
      <c r="AF37" s="176">
        <f t="shared" si="24"/>
        <v>0</v>
      </c>
      <c r="AG37" s="175" t="e">
        <f t="shared" si="18"/>
        <v>#DIV/0!</v>
      </c>
      <c r="AH37" s="175">
        <f t="shared" si="4"/>
        <v>0</v>
      </c>
      <c r="AI37" s="176">
        <f>S36</f>
        <v>100</v>
      </c>
      <c r="AJ37" s="176">
        <f>S37</f>
        <v>100</v>
      </c>
      <c r="AK37" s="14">
        <f>L37-L36</f>
        <v>0.99166666666666714</v>
      </c>
      <c r="AL37" s="176">
        <f t="shared" si="19"/>
        <v>0</v>
      </c>
      <c r="AM37" s="176">
        <f>($AI$10/$AI$11)*$AJ$10</f>
        <v>50</v>
      </c>
      <c r="AN37" s="176">
        <f t="shared" si="20"/>
        <v>-50</v>
      </c>
      <c r="AO37" s="77" t="e">
        <f>Z37+AK37/AL37*AN37</f>
        <v>#DIV/0!</v>
      </c>
      <c r="AP37" s="191">
        <f>IF(AB37=0,0,IF(AN37&lt;0,0,AO37))</f>
        <v>0</v>
      </c>
      <c r="AQ37" s="14">
        <f>R37*(Q37-$Y$9)</f>
        <v>0</v>
      </c>
      <c r="AR37" s="14">
        <f t="shared" si="21"/>
        <v>0</v>
      </c>
      <c r="AS37" s="14">
        <f>R37*POWER((Q37-$Y$9),2)</f>
        <v>0</v>
      </c>
    </row>
    <row r="38" spans="1:45" x14ac:dyDescent="0.2">
      <c r="A38" s="9">
        <v>24</v>
      </c>
      <c r="B38" s="2">
        <v>9.24</v>
      </c>
      <c r="C38" s="2">
        <v>9.24</v>
      </c>
      <c r="D38" s="2">
        <v>10.51</v>
      </c>
      <c r="J38" s="50">
        <v>23</v>
      </c>
      <c r="K38" s="11">
        <f>L37+$I$15</f>
        <v>28.916666666666675</v>
      </c>
      <c r="L38" s="11">
        <f t="shared" si="17"/>
        <v>29.898333333333341</v>
      </c>
      <c r="M38" s="11">
        <f t="shared" si="5"/>
        <v>0.98166666666666558</v>
      </c>
      <c r="N38" s="12">
        <f t="shared" si="22"/>
        <v>28.911666666666676</v>
      </c>
      <c r="O38" s="12">
        <f t="shared" si="0"/>
        <v>29.903333333333343</v>
      </c>
      <c r="P38" s="11">
        <f t="shared" si="6"/>
        <v>0.99166666666666714</v>
      </c>
      <c r="Q38" s="11">
        <f t="shared" si="7"/>
        <v>29.40750000000001</v>
      </c>
      <c r="R38" s="13">
        <v>0</v>
      </c>
      <c r="S38" s="13">
        <f t="shared" si="8"/>
        <v>100</v>
      </c>
      <c r="T38" s="15">
        <f t="shared" si="1"/>
        <v>0</v>
      </c>
      <c r="U38" s="17">
        <f t="shared" si="9"/>
        <v>1</v>
      </c>
      <c r="V38" s="20">
        <f t="shared" si="2"/>
        <v>0</v>
      </c>
      <c r="W38" s="15">
        <f t="shared" si="3"/>
        <v>0</v>
      </c>
      <c r="X38" s="50">
        <v>23</v>
      </c>
      <c r="Y38" s="14">
        <f>R38*Q38</f>
        <v>0</v>
      </c>
      <c r="Z38" s="14">
        <f t="shared" si="10"/>
        <v>28.916666666666675</v>
      </c>
      <c r="AA38" s="14">
        <f t="shared" si="11"/>
        <v>29.898333333333341</v>
      </c>
      <c r="AB38" s="176">
        <f t="shared" ref="AB38:AB40" si="25">IF(U38&gt;=$AJ$12,J38,0)</f>
        <v>23</v>
      </c>
      <c r="AC38" s="176">
        <f t="shared" ref="AC38:AC40" si="26">R37</f>
        <v>0</v>
      </c>
      <c r="AD38" s="176">
        <f t="shared" si="13"/>
        <v>0</v>
      </c>
      <c r="AE38" s="176">
        <f t="shared" ref="AE38:AE40" si="27">R39</f>
        <v>0</v>
      </c>
      <c r="AF38" s="176">
        <f t="shared" si="24"/>
        <v>0</v>
      </c>
      <c r="AG38" s="175" t="e">
        <f t="shared" si="18"/>
        <v>#DIV/0!</v>
      </c>
      <c r="AH38" s="175">
        <f t="shared" ref="AH38:AH40" si="28">IF(AP38=0,0,AG38)</f>
        <v>0</v>
      </c>
      <c r="AI38" s="176">
        <f t="shared" ref="AI38:AI40" si="29">S37</f>
        <v>100</v>
      </c>
      <c r="AJ38" s="176">
        <f>S38</f>
        <v>100</v>
      </c>
      <c r="AK38" s="14">
        <f>L38-L37</f>
        <v>0.99166666666666714</v>
      </c>
      <c r="AL38" s="176">
        <f t="shared" si="19"/>
        <v>0</v>
      </c>
      <c r="AM38" s="176">
        <f>($AI$10/$AI$11)*$AJ$10</f>
        <v>50</v>
      </c>
      <c r="AN38" s="176">
        <f t="shared" si="20"/>
        <v>-50</v>
      </c>
      <c r="AO38" s="77" t="e">
        <f>Z38+AK38/AL38*AN38</f>
        <v>#DIV/0!</v>
      </c>
      <c r="AP38" s="191">
        <f>IF(AB38=0,0,IF(AN38&lt;0,0,AO38))</f>
        <v>0</v>
      </c>
      <c r="AQ38" s="14">
        <f>R38*(Q38-$Y$9)</f>
        <v>0</v>
      </c>
      <c r="AR38" s="14">
        <f t="shared" si="21"/>
        <v>0</v>
      </c>
      <c r="AS38" s="14">
        <f>R38*POWER((Q38-$Y$9),2)</f>
        <v>0</v>
      </c>
    </row>
    <row r="39" spans="1:45" x14ac:dyDescent="0.2">
      <c r="A39" s="9">
        <v>25</v>
      </c>
      <c r="B39" s="2">
        <v>9.24</v>
      </c>
      <c r="C39" s="2">
        <v>9.24</v>
      </c>
      <c r="D39" s="2">
        <v>10.49</v>
      </c>
      <c r="F39" s="42"/>
      <c r="J39" s="50">
        <v>24</v>
      </c>
      <c r="K39" s="11">
        <f>L38+$I$15</f>
        <v>29.908333333333342</v>
      </c>
      <c r="L39" s="11">
        <f t="shared" si="17"/>
        <v>30.890000000000008</v>
      </c>
      <c r="M39" s="11">
        <f t="shared" si="5"/>
        <v>0.98166666666666558</v>
      </c>
      <c r="N39" s="12">
        <f t="shared" si="22"/>
        <v>29.903333333333343</v>
      </c>
      <c r="O39" s="12">
        <f t="shared" si="0"/>
        <v>30.89500000000001</v>
      </c>
      <c r="P39" s="11">
        <f t="shared" si="6"/>
        <v>0.99166666666666714</v>
      </c>
      <c r="Q39" s="11">
        <f t="shared" si="7"/>
        <v>30.399166666666677</v>
      </c>
      <c r="R39" s="13">
        <v>0</v>
      </c>
      <c r="S39" s="13">
        <f t="shared" si="8"/>
        <v>100</v>
      </c>
      <c r="T39" s="15">
        <f t="shared" si="1"/>
        <v>0</v>
      </c>
      <c r="U39" s="17">
        <f t="shared" si="9"/>
        <v>1</v>
      </c>
      <c r="V39" s="20">
        <f t="shared" si="2"/>
        <v>0</v>
      </c>
      <c r="W39" s="15">
        <f t="shared" si="3"/>
        <v>0</v>
      </c>
      <c r="X39" s="50">
        <v>24</v>
      </c>
      <c r="Y39" s="14">
        <f>R39*Q39</f>
        <v>0</v>
      </c>
      <c r="Z39" s="14">
        <f t="shared" si="10"/>
        <v>29.908333333333342</v>
      </c>
      <c r="AA39" s="14">
        <f t="shared" si="11"/>
        <v>30.890000000000008</v>
      </c>
      <c r="AB39" s="176">
        <f t="shared" si="25"/>
        <v>24</v>
      </c>
      <c r="AC39" s="176">
        <f t="shared" si="26"/>
        <v>0</v>
      </c>
      <c r="AD39" s="176">
        <f t="shared" si="13"/>
        <v>0</v>
      </c>
      <c r="AE39" s="176">
        <f t="shared" si="27"/>
        <v>0</v>
      </c>
      <c r="AF39" s="176">
        <f t="shared" si="24"/>
        <v>0</v>
      </c>
      <c r="AG39" s="175" t="e">
        <f t="shared" si="18"/>
        <v>#DIV/0!</v>
      </c>
      <c r="AH39" s="175">
        <f t="shared" si="28"/>
        <v>0</v>
      </c>
      <c r="AI39" s="176">
        <f t="shared" si="29"/>
        <v>100</v>
      </c>
      <c r="AJ39" s="176">
        <f>S39</f>
        <v>100</v>
      </c>
      <c r="AK39" s="14">
        <f>L39-L38</f>
        <v>0.99166666666666714</v>
      </c>
      <c r="AL39" s="176">
        <f t="shared" si="19"/>
        <v>0</v>
      </c>
      <c r="AM39" s="176">
        <f>($AI$10/$AI$11)*$AJ$10</f>
        <v>50</v>
      </c>
      <c r="AN39" s="176">
        <f t="shared" si="20"/>
        <v>-50</v>
      </c>
      <c r="AO39" s="77" t="e">
        <f>Z39+AK39/AL39*AN39</f>
        <v>#DIV/0!</v>
      </c>
      <c r="AP39" s="191">
        <f>IF(AB39=0,0,IF(AN39&lt;0,0,AO39))</f>
        <v>0</v>
      </c>
      <c r="AQ39" s="14">
        <f>R39*(Q39-$Y$9)</f>
        <v>0</v>
      </c>
      <c r="AR39" s="14">
        <f t="shared" si="21"/>
        <v>0</v>
      </c>
      <c r="AS39" s="14">
        <f>R39*POWER((Q39-$Y$9),2)</f>
        <v>0</v>
      </c>
    </row>
    <row r="40" spans="1:45" x14ac:dyDescent="0.2">
      <c r="A40" s="9">
        <v>26</v>
      </c>
      <c r="B40" s="2">
        <v>9.2799999999999994</v>
      </c>
      <c r="C40" s="2">
        <v>9.2799999999999994</v>
      </c>
      <c r="D40" s="2">
        <v>10.43</v>
      </c>
      <c r="J40" s="50">
        <v>25</v>
      </c>
      <c r="K40" s="11">
        <f>L39+$I$15</f>
        <v>30.900000000000009</v>
      </c>
      <c r="L40" s="11">
        <f t="shared" si="17"/>
        <v>31.881666666666675</v>
      </c>
      <c r="M40" s="11">
        <f t="shared" si="5"/>
        <v>0.98166666666666558</v>
      </c>
      <c r="N40" s="12">
        <f t="shared" si="22"/>
        <v>30.89500000000001</v>
      </c>
      <c r="O40" s="12">
        <f>N40+$H$15+$I$15</f>
        <v>31.896666666666679</v>
      </c>
      <c r="P40" s="48">
        <f t="shared" si="6"/>
        <v>1.0016666666666687</v>
      </c>
      <c r="Q40" s="11">
        <f t="shared" si="7"/>
        <v>31.395833333333343</v>
      </c>
      <c r="R40" s="13">
        <v>0</v>
      </c>
      <c r="S40" s="13">
        <f t="shared" si="8"/>
        <v>100</v>
      </c>
      <c r="T40" s="15">
        <f t="shared" si="1"/>
        <v>0</v>
      </c>
      <c r="U40" s="17">
        <f t="shared" si="9"/>
        <v>1</v>
      </c>
      <c r="V40" s="20">
        <f t="shared" si="2"/>
        <v>0</v>
      </c>
      <c r="W40" s="15">
        <f t="shared" si="3"/>
        <v>0</v>
      </c>
      <c r="X40" s="50">
        <v>25</v>
      </c>
      <c r="Y40" s="14">
        <f>R40*Q40</f>
        <v>0</v>
      </c>
      <c r="Z40" s="14">
        <f t="shared" si="10"/>
        <v>30.900000000000009</v>
      </c>
      <c r="AA40" s="14">
        <f t="shared" si="11"/>
        <v>31.881666666666675</v>
      </c>
      <c r="AB40" s="176">
        <f t="shared" si="25"/>
        <v>25</v>
      </c>
      <c r="AC40" s="176">
        <f t="shared" si="26"/>
        <v>0</v>
      </c>
      <c r="AD40" s="176">
        <f t="shared" si="13"/>
        <v>0</v>
      </c>
      <c r="AE40" s="176">
        <f t="shared" si="27"/>
        <v>0</v>
      </c>
      <c r="AF40" s="176">
        <f t="shared" si="24"/>
        <v>0</v>
      </c>
      <c r="AG40" s="175" t="e">
        <f t="shared" si="18"/>
        <v>#DIV/0!</v>
      </c>
      <c r="AH40" s="175">
        <f t="shared" si="28"/>
        <v>0</v>
      </c>
      <c r="AI40" s="176">
        <f t="shared" si="29"/>
        <v>100</v>
      </c>
      <c r="AJ40" s="176">
        <f>S40</f>
        <v>100</v>
      </c>
      <c r="AK40" s="14">
        <f>L40-L39</f>
        <v>0.99166666666666714</v>
      </c>
      <c r="AL40" s="176">
        <f t="shared" si="19"/>
        <v>0</v>
      </c>
      <c r="AM40" s="176">
        <f>($AI$10/$AI$11)*$AJ$10</f>
        <v>50</v>
      </c>
      <c r="AN40" s="176">
        <f t="shared" si="20"/>
        <v>-50</v>
      </c>
      <c r="AO40" s="77" t="e">
        <f>Z40+AK40/AL40*AN40</f>
        <v>#DIV/0!</v>
      </c>
      <c r="AP40" s="192">
        <f>IF(AB40=0,0,IF(AN40&lt;0,0,AO40))</f>
        <v>0</v>
      </c>
      <c r="AQ40" s="68">
        <f>R40*(Q40-$Y$9)</f>
        <v>0</v>
      </c>
      <c r="AR40" s="14">
        <f t="shared" si="21"/>
        <v>0</v>
      </c>
      <c r="AS40" s="14">
        <f>R40*POWER((Q40-$Y$9),2)</f>
        <v>0</v>
      </c>
    </row>
    <row r="41" spans="1:45" x14ac:dyDescent="0.2">
      <c r="A41" s="9">
        <v>27</v>
      </c>
      <c r="B41" s="2">
        <v>9.2899999999999991</v>
      </c>
      <c r="C41" s="2">
        <v>9.2899999999999991</v>
      </c>
      <c r="D41" s="2">
        <v>10.41</v>
      </c>
      <c r="P41" s="45"/>
      <c r="R41" s="43"/>
      <c r="AB41" s="67"/>
      <c r="AE41" s="63"/>
      <c r="AF41"/>
      <c r="AG41" s="63"/>
      <c r="AH41" s="190"/>
      <c r="AI41" s="67"/>
      <c r="AL41" s="66"/>
      <c r="AM41" s="66"/>
      <c r="AN41" s="66"/>
      <c r="AO41" s="78"/>
      <c r="AP41" s="78"/>
      <c r="AQ41" s="67"/>
    </row>
    <row r="42" spans="1:45" ht="13.5" thickBot="1" x14ac:dyDescent="0.25">
      <c r="A42" s="9">
        <v>28</v>
      </c>
      <c r="B42" s="2">
        <v>9.3000000000000007</v>
      </c>
      <c r="C42" s="2">
        <v>9.3000000000000007</v>
      </c>
      <c r="D42" s="2">
        <v>10.38</v>
      </c>
      <c r="P42" s="45"/>
      <c r="R42" s="43"/>
      <c r="U42" s="25"/>
      <c r="V42" s="24"/>
      <c r="AB42" s="67"/>
      <c r="AE42" s="63"/>
      <c r="AF42"/>
      <c r="AG42" s="63"/>
      <c r="AH42" s="190"/>
      <c r="AI42" s="67"/>
      <c r="AL42" s="66"/>
      <c r="AM42" s="66"/>
      <c r="AN42" s="66"/>
      <c r="AO42" s="78"/>
      <c r="AP42" s="78"/>
      <c r="AQ42" s="67"/>
    </row>
    <row r="43" spans="1:45" ht="16.5" thickBot="1" x14ac:dyDescent="0.25">
      <c r="A43" s="9">
        <v>29</v>
      </c>
      <c r="B43" s="2">
        <v>9.32</v>
      </c>
      <c r="C43" s="2">
        <v>9.32</v>
      </c>
      <c r="D43" s="2">
        <v>10.31</v>
      </c>
      <c r="F43" s="88">
        <v>7.1</v>
      </c>
      <c r="G43" s="89">
        <v>8.7200000000000006</v>
      </c>
      <c r="H43" s="89">
        <v>9.0500000000000007</v>
      </c>
      <c r="I43" s="89">
        <v>9.33</v>
      </c>
      <c r="J43" s="89">
        <v>9.59</v>
      </c>
      <c r="K43" s="89">
        <v>9.98</v>
      </c>
      <c r="L43" s="89">
        <v>10.14</v>
      </c>
      <c r="M43" s="89">
        <v>10.31</v>
      </c>
      <c r="N43" s="89">
        <v>10.7</v>
      </c>
      <c r="O43" s="89">
        <v>10.99</v>
      </c>
      <c r="P43" s="45"/>
      <c r="R43" s="43"/>
      <c r="AB43" s="67"/>
      <c r="AE43"/>
      <c r="AF43"/>
      <c r="AG43" s="63"/>
      <c r="AH43"/>
      <c r="AI43" s="67"/>
      <c r="AL43" s="66"/>
      <c r="AM43" s="66"/>
      <c r="AN43" s="66"/>
      <c r="AO43" s="78"/>
      <c r="AP43" s="78"/>
      <c r="AQ43" s="67"/>
    </row>
    <row r="44" spans="1:45" ht="16.5" thickBot="1" x14ac:dyDescent="0.25">
      <c r="A44" s="9">
        <v>30</v>
      </c>
      <c r="B44" s="2">
        <v>9.32</v>
      </c>
      <c r="C44" s="2">
        <v>9.32</v>
      </c>
      <c r="D44" s="2">
        <v>10.28</v>
      </c>
      <c r="F44" s="90">
        <v>7.16</v>
      </c>
      <c r="G44" s="91">
        <v>8.8000000000000007</v>
      </c>
      <c r="H44" s="91">
        <v>9.07</v>
      </c>
      <c r="I44" s="91">
        <v>9.36</v>
      </c>
      <c r="J44" s="91">
        <v>9.6</v>
      </c>
      <c r="K44" s="91">
        <v>9.98</v>
      </c>
      <c r="L44" s="91">
        <v>10.14</v>
      </c>
      <c r="M44" s="91">
        <v>10.38</v>
      </c>
      <c r="N44" s="91">
        <v>10.74</v>
      </c>
      <c r="O44" s="91">
        <v>10.02</v>
      </c>
      <c r="P44" s="45"/>
      <c r="R44" s="43"/>
      <c r="AB44" s="67"/>
      <c r="AE44"/>
      <c r="AF44"/>
      <c r="AG44" s="63"/>
      <c r="AH44"/>
      <c r="AL44" s="66"/>
      <c r="AM44" s="66"/>
      <c r="AN44" s="66"/>
      <c r="AO44" s="78"/>
      <c r="AP44" s="78"/>
      <c r="AQ44" s="67"/>
    </row>
    <row r="45" spans="1:45" ht="16.5" thickBot="1" x14ac:dyDescent="0.25">
      <c r="A45" s="23">
        <v>31</v>
      </c>
      <c r="B45" s="2">
        <v>9.33</v>
      </c>
      <c r="C45" s="2">
        <v>9.33</v>
      </c>
      <c r="D45" s="2">
        <v>10.28</v>
      </c>
      <c r="F45" s="90">
        <v>7.84</v>
      </c>
      <c r="G45" s="91">
        <v>8.8000000000000007</v>
      </c>
      <c r="H45" s="91">
        <v>9.1199999999999992</v>
      </c>
      <c r="I45" s="91">
        <v>9.3800000000000008</v>
      </c>
      <c r="J45" s="91">
        <v>9.61</v>
      </c>
      <c r="K45" s="91">
        <v>10</v>
      </c>
      <c r="L45" s="91">
        <v>10.16</v>
      </c>
      <c r="M45" s="91">
        <v>10.41</v>
      </c>
      <c r="N45" s="91">
        <v>10.76</v>
      </c>
      <c r="O45" s="91">
        <v>11.11</v>
      </c>
      <c r="P45" s="45"/>
      <c r="R45" s="43"/>
      <c r="AB45" s="67"/>
      <c r="AE45"/>
      <c r="AF45"/>
      <c r="AG45" s="63"/>
      <c r="AH45"/>
      <c r="AL45" s="66"/>
      <c r="AM45" s="66"/>
      <c r="AN45" s="66"/>
      <c r="AO45" s="78"/>
      <c r="AP45" s="78"/>
      <c r="AQ45" s="67"/>
    </row>
    <row r="46" spans="1:45" ht="16.5" thickBot="1" x14ac:dyDescent="0.25">
      <c r="A46" s="23">
        <v>32</v>
      </c>
      <c r="B46" s="2">
        <v>9.36</v>
      </c>
      <c r="C46" s="2">
        <v>9.36</v>
      </c>
      <c r="D46" s="2">
        <v>10.26</v>
      </c>
      <c r="F46" s="90">
        <v>7.97</v>
      </c>
      <c r="G46" s="91">
        <v>8.84</v>
      </c>
      <c r="H46" s="91">
        <v>9.24</v>
      </c>
      <c r="I46" s="91">
        <v>9.4</v>
      </c>
      <c r="J46" s="91">
        <v>9.67</v>
      </c>
      <c r="K46" s="91">
        <v>10.01</v>
      </c>
      <c r="L46" s="91">
        <v>10.18</v>
      </c>
      <c r="M46" s="91">
        <v>10.43</v>
      </c>
      <c r="N46" s="91">
        <v>10.77</v>
      </c>
      <c r="O46" s="91">
        <v>11.26</v>
      </c>
      <c r="P46" s="45"/>
      <c r="R46" s="43"/>
      <c r="AB46" s="67"/>
      <c r="AE46"/>
      <c r="AF46"/>
      <c r="AG46" s="63"/>
      <c r="AH46"/>
      <c r="AL46" s="66"/>
      <c r="AM46" s="66"/>
      <c r="AN46" s="66"/>
      <c r="AO46" s="78"/>
      <c r="AP46" s="78"/>
      <c r="AQ46" s="67"/>
    </row>
    <row r="47" spans="1:45" ht="16.5" thickBot="1" x14ac:dyDescent="0.25">
      <c r="A47" s="23">
        <v>33</v>
      </c>
      <c r="B47" s="2">
        <v>9.3800000000000008</v>
      </c>
      <c r="C47" s="2">
        <v>9.3800000000000008</v>
      </c>
      <c r="D47" s="2">
        <v>10.24</v>
      </c>
      <c r="F47" s="90">
        <v>8.31</v>
      </c>
      <c r="G47" s="91">
        <v>8.84</v>
      </c>
      <c r="H47" s="91">
        <v>9.24</v>
      </c>
      <c r="I47" s="91">
        <v>9.48</v>
      </c>
      <c r="J47" s="91">
        <v>9.68</v>
      </c>
      <c r="K47" s="91">
        <v>10.029999999999999</v>
      </c>
      <c r="L47" s="91">
        <v>10.210000000000001</v>
      </c>
      <c r="M47" s="91">
        <v>10.49</v>
      </c>
      <c r="N47" s="91">
        <v>10.79</v>
      </c>
      <c r="O47" s="91">
        <v>11.28</v>
      </c>
      <c r="P47" s="45"/>
      <c r="R47" s="43"/>
      <c r="AB47" s="67"/>
      <c r="AE47"/>
      <c r="AF47"/>
      <c r="AG47" s="63"/>
      <c r="AH47"/>
      <c r="AL47" s="66"/>
      <c r="AM47" s="66"/>
      <c r="AN47" s="66"/>
      <c r="AO47" s="78"/>
      <c r="AP47" s="78"/>
      <c r="AQ47" s="67"/>
    </row>
    <row r="48" spans="1:45" ht="16.5" thickBot="1" x14ac:dyDescent="0.25">
      <c r="A48" s="23">
        <v>34</v>
      </c>
      <c r="B48" s="2">
        <v>9.4</v>
      </c>
      <c r="C48" s="2">
        <v>9.4</v>
      </c>
      <c r="D48" s="2">
        <v>10.220000000000001</v>
      </c>
      <c r="F48" s="90">
        <v>8.39</v>
      </c>
      <c r="G48" s="91">
        <v>8.89</v>
      </c>
      <c r="H48" s="91">
        <v>9.2799999999999994</v>
      </c>
      <c r="I48" s="91">
        <v>9.48</v>
      </c>
      <c r="J48" s="91">
        <v>9.7100000000000009</v>
      </c>
      <c r="K48" s="91">
        <v>10.039999999999999</v>
      </c>
      <c r="L48" s="91">
        <v>10.220000000000001</v>
      </c>
      <c r="M48" s="91">
        <v>10.51</v>
      </c>
      <c r="N48" s="91">
        <v>10.81</v>
      </c>
      <c r="O48" s="91">
        <v>11.3</v>
      </c>
      <c r="P48" s="45"/>
      <c r="R48" s="43"/>
      <c r="AB48" s="67"/>
      <c r="AE48"/>
      <c r="AF48"/>
      <c r="AG48" s="63"/>
      <c r="AH48"/>
      <c r="AL48" s="66"/>
      <c r="AM48" s="66"/>
      <c r="AN48" s="66"/>
      <c r="AO48" s="78"/>
      <c r="AP48" s="78"/>
      <c r="AQ48" s="67"/>
    </row>
    <row r="49" spans="1:54" ht="12.75" customHeight="1" thickBot="1" x14ac:dyDescent="0.25">
      <c r="A49" s="23">
        <v>35</v>
      </c>
      <c r="B49" s="2">
        <v>9.48</v>
      </c>
      <c r="C49" s="2">
        <v>9.48</v>
      </c>
      <c r="D49" s="2">
        <v>10.210000000000001</v>
      </c>
      <c r="F49" s="90">
        <v>8.59</v>
      </c>
      <c r="G49" s="91">
        <v>8.9</v>
      </c>
      <c r="H49" s="91">
        <v>9.2899999999999991</v>
      </c>
      <c r="I49" s="91">
        <v>9.52</v>
      </c>
      <c r="J49" s="91">
        <v>9.76</v>
      </c>
      <c r="K49" s="91">
        <v>10.06</v>
      </c>
      <c r="L49" s="91">
        <v>10.24</v>
      </c>
      <c r="M49" s="91">
        <v>10.54</v>
      </c>
      <c r="N49" s="91">
        <v>10.86</v>
      </c>
      <c r="O49" s="91">
        <v>11.41</v>
      </c>
      <c r="P49" s="45"/>
      <c r="W49" s="4"/>
      <c r="AB49" s="67"/>
      <c r="AE49"/>
      <c r="AF49"/>
      <c r="AG49" s="63"/>
      <c r="AH49"/>
      <c r="AL49" s="66"/>
      <c r="AM49" s="66"/>
      <c r="AN49" s="66"/>
      <c r="AO49" s="78"/>
      <c r="AP49" s="78"/>
      <c r="AQ49" s="67"/>
      <c r="AW49" s="94" t="s">
        <v>64</v>
      </c>
      <c r="AX49" s="97" t="s">
        <v>65</v>
      </c>
      <c r="AY49" s="74"/>
      <c r="AZ49" s="26" t="s">
        <v>66</v>
      </c>
      <c r="BA49" s="74" t="s">
        <v>67</v>
      </c>
      <c r="BB49" s="74" t="s">
        <v>68</v>
      </c>
    </row>
    <row r="50" spans="1:54" ht="16.5" thickBot="1" x14ac:dyDescent="0.25">
      <c r="A50" s="23">
        <v>36</v>
      </c>
      <c r="B50" s="2">
        <v>9.48</v>
      </c>
      <c r="C50" s="2">
        <v>9.48</v>
      </c>
      <c r="D50" s="2">
        <v>10.18</v>
      </c>
      <c r="F50" s="90">
        <v>8.6199999999999992</v>
      </c>
      <c r="G50" s="91">
        <v>8.9600000000000009</v>
      </c>
      <c r="H50" s="91">
        <v>9.3000000000000007</v>
      </c>
      <c r="I50" s="91">
        <v>9.5299999999999994</v>
      </c>
      <c r="J50" s="91">
        <v>9.82</v>
      </c>
      <c r="K50" s="91">
        <v>10.07</v>
      </c>
      <c r="L50" s="91">
        <v>10.26</v>
      </c>
      <c r="M50" s="91">
        <v>10.56</v>
      </c>
      <c r="N50" s="91">
        <v>10.89</v>
      </c>
      <c r="O50" s="91">
        <v>11.7</v>
      </c>
      <c r="P50" s="45"/>
      <c r="W50" s="4"/>
      <c r="AB50" s="67"/>
      <c r="AE50"/>
      <c r="AF50"/>
      <c r="AG50" s="63"/>
      <c r="AH50"/>
      <c r="AL50" s="66"/>
      <c r="AM50" s="66"/>
      <c r="AN50" s="66"/>
      <c r="AO50" s="78"/>
      <c r="AP50" s="78"/>
      <c r="AQ50" s="67"/>
      <c r="AW50" s="95"/>
      <c r="AX50" s="98"/>
      <c r="AY50" s="75"/>
      <c r="AZ50" s="27">
        <f>AZ53/AX53</f>
        <v>9.9850000000000012</v>
      </c>
      <c r="BA50" s="28">
        <f>BA53/10</f>
        <v>0.3540249999999997</v>
      </c>
      <c r="BB50" s="28">
        <f>BB53/9</f>
        <v>0.39336111111111083</v>
      </c>
    </row>
    <row r="51" spans="1:54" ht="23.25" thickBot="1" x14ac:dyDescent="0.25">
      <c r="A51" s="23">
        <v>37</v>
      </c>
      <c r="B51" s="2">
        <v>9.52</v>
      </c>
      <c r="C51" s="2">
        <v>9.52</v>
      </c>
      <c r="D51" s="2">
        <v>10.16</v>
      </c>
      <c r="F51" s="90">
        <v>8.67</v>
      </c>
      <c r="G51" s="91">
        <v>8.9600000000000009</v>
      </c>
      <c r="H51" s="91">
        <v>9.32</v>
      </c>
      <c r="I51" s="91">
        <v>9.56</v>
      </c>
      <c r="J51" s="91">
        <v>9.8699999999999992</v>
      </c>
      <c r="K51" s="91">
        <v>10.09</v>
      </c>
      <c r="L51" s="91">
        <v>10.28</v>
      </c>
      <c r="M51" s="91">
        <v>10.56</v>
      </c>
      <c r="N51" s="91">
        <v>10.92</v>
      </c>
      <c r="O51" s="91">
        <v>12.19</v>
      </c>
      <c r="P51" s="45"/>
      <c r="W51" s="4"/>
      <c r="AB51" s="67"/>
      <c r="AE51"/>
      <c r="AF51"/>
      <c r="AG51" s="63"/>
      <c r="AH51"/>
      <c r="AL51" s="66"/>
      <c r="AM51" s="66"/>
      <c r="AN51" s="66"/>
      <c r="AO51" s="78"/>
      <c r="AP51" s="78"/>
      <c r="AQ51" s="67"/>
      <c r="AW51" s="95"/>
      <c r="AX51" s="98"/>
      <c r="AY51" s="75"/>
      <c r="AZ51" s="29"/>
      <c r="BA51" s="75" t="s">
        <v>69</v>
      </c>
      <c r="BB51" s="75" t="s">
        <v>70</v>
      </c>
    </row>
    <row r="52" spans="1:54" ht="16.5" thickBot="1" x14ac:dyDescent="0.25">
      <c r="A52" s="23">
        <v>38</v>
      </c>
      <c r="B52" s="2">
        <v>9.5299999999999994</v>
      </c>
      <c r="C52" s="2">
        <v>9.5299999999999994</v>
      </c>
      <c r="D52" s="2">
        <v>10.14</v>
      </c>
      <c r="F52" s="90">
        <v>8.69</v>
      </c>
      <c r="G52" s="91">
        <v>8.99</v>
      </c>
      <c r="H52" s="91">
        <v>9.32</v>
      </c>
      <c r="I52" s="91">
        <v>9.59</v>
      </c>
      <c r="J52" s="91">
        <v>9.8800000000000008</v>
      </c>
      <c r="K52" s="91">
        <v>10.1</v>
      </c>
      <c r="L52" s="91">
        <v>10.28</v>
      </c>
      <c r="M52" s="91">
        <v>10.67</v>
      </c>
      <c r="N52" s="91">
        <v>10.97</v>
      </c>
      <c r="O52" s="91">
        <v>13.05</v>
      </c>
      <c r="P52" s="45"/>
      <c r="W52" s="4"/>
      <c r="AB52" s="67"/>
      <c r="AE52"/>
      <c r="AF52"/>
      <c r="AG52" s="63"/>
      <c r="AH52"/>
      <c r="AL52" s="66"/>
      <c r="AM52" s="66"/>
      <c r="AN52" s="66"/>
      <c r="AO52" s="78"/>
      <c r="AP52" s="78"/>
      <c r="AQ52" s="67"/>
      <c r="AW52" s="95"/>
      <c r="AX52" s="98"/>
      <c r="AY52" s="75"/>
      <c r="AZ52" s="26" t="s">
        <v>60</v>
      </c>
      <c r="BA52" s="75" t="s">
        <v>60</v>
      </c>
      <c r="BB52" s="75" t="s">
        <v>60</v>
      </c>
    </row>
    <row r="53" spans="1:54" x14ac:dyDescent="0.2">
      <c r="A53" s="23">
        <v>39</v>
      </c>
      <c r="B53" s="2">
        <v>9.56</v>
      </c>
      <c r="C53" s="2">
        <v>9.56</v>
      </c>
      <c r="D53" s="2">
        <v>10.14</v>
      </c>
      <c r="P53" s="45"/>
      <c r="W53" s="4"/>
      <c r="AB53" s="67"/>
      <c r="AE53"/>
      <c r="AF53"/>
      <c r="AG53" s="63"/>
      <c r="AH53"/>
      <c r="AL53" s="66"/>
      <c r="AM53" s="66"/>
      <c r="AN53" s="66"/>
      <c r="AO53" s="78"/>
      <c r="AP53" s="78"/>
      <c r="AQ53" s="67"/>
      <c r="AW53" s="96"/>
      <c r="AX53" s="30">
        <v>10</v>
      </c>
      <c r="AY53" s="30"/>
      <c r="AZ53" s="29">
        <f>SUM(AZ54:AZ56)</f>
        <v>99.850000000000009</v>
      </c>
      <c r="BA53" s="28">
        <f>(SUM(BA54:BA56))</f>
        <v>3.5402499999999972</v>
      </c>
      <c r="BB53" s="28">
        <f>(SUM(BB54:BB56))</f>
        <v>3.5402499999999972</v>
      </c>
    </row>
    <row r="54" spans="1:54" x14ac:dyDescent="0.2">
      <c r="A54" s="23">
        <v>40</v>
      </c>
      <c r="B54" s="2">
        <v>9.59</v>
      </c>
      <c r="C54" s="2">
        <v>9.59</v>
      </c>
      <c r="D54" s="2">
        <v>10.1</v>
      </c>
      <c r="P54" s="45"/>
      <c r="W54" s="4"/>
      <c r="AB54" s="67"/>
      <c r="AE54"/>
      <c r="AF54"/>
      <c r="AG54" s="63"/>
      <c r="AH54"/>
      <c r="AL54" s="66"/>
      <c r="AM54" s="66"/>
      <c r="AN54" s="66"/>
      <c r="AO54" s="78"/>
      <c r="AP54" s="78"/>
      <c r="AQ54" s="67"/>
      <c r="AW54" s="13">
        <v>9.2200000000000006</v>
      </c>
      <c r="AX54" s="13">
        <v>3</v>
      </c>
      <c r="AY54" s="13"/>
      <c r="AZ54" s="13">
        <f>AX54*AW54</f>
        <v>27.660000000000004</v>
      </c>
      <c r="BA54" s="14">
        <f t="shared" ref="BA54:BB56" si="30">$AX54*POWER($AW54-$AZ$50,2)</f>
        <v>1.7556750000000028</v>
      </c>
      <c r="BB54" s="14">
        <f t="shared" si="30"/>
        <v>1.7556750000000028</v>
      </c>
    </row>
    <row r="55" spans="1:54" x14ac:dyDescent="0.2">
      <c r="A55" s="9">
        <v>41</v>
      </c>
      <c r="B55" s="2">
        <v>9.59</v>
      </c>
      <c r="C55" s="2">
        <v>9.59</v>
      </c>
      <c r="D55" s="2">
        <v>10.09</v>
      </c>
      <c r="P55" s="45"/>
      <c r="W55" s="4"/>
      <c r="AB55" s="67"/>
      <c r="AE55"/>
      <c r="AF55"/>
      <c r="AG55" s="63"/>
      <c r="AH55"/>
      <c r="AL55" s="66"/>
      <c r="AM55" s="66"/>
      <c r="AN55" s="66"/>
      <c r="AO55" s="78"/>
      <c r="AP55" s="78"/>
      <c r="AQ55" s="67"/>
      <c r="AW55" s="13">
        <v>10.07</v>
      </c>
      <c r="AX55" s="13">
        <v>5</v>
      </c>
      <c r="AY55" s="13"/>
      <c r="AZ55" s="13">
        <f t="shared" ref="AZ55:AZ56" si="31">AX55*AW55</f>
        <v>50.35</v>
      </c>
      <c r="BA55" s="14">
        <f t="shared" si="30"/>
        <v>3.6124999999999213E-2</v>
      </c>
      <c r="BB55" s="14">
        <f t="shared" si="30"/>
        <v>3.6124999999999213E-2</v>
      </c>
    </row>
    <row r="56" spans="1:54" x14ac:dyDescent="0.2">
      <c r="A56" s="9">
        <v>42</v>
      </c>
      <c r="B56" s="2">
        <v>9.6</v>
      </c>
      <c r="C56" s="2">
        <v>9.6</v>
      </c>
      <c r="D56" s="2">
        <v>10.07</v>
      </c>
      <c r="H56" s="195" t="s">
        <v>140</v>
      </c>
      <c r="P56" s="45"/>
      <c r="W56" s="4"/>
      <c r="AB56" s="67"/>
      <c r="AE56"/>
      <c r="AF56"/>
      <c r="AG56" s="63"/>
      <c r="AH56"/>
      <c r="AL56" s="66"/>
      <c r="AM56" s="66"/>
      <c r="AN56" s="66"/>
      <c r="AO56" s="78"/>
      <c r="AP56" s="78"/>
      <c r="AQ56" s="67"/>
      <c r="AW56" s="13">
        <v>10.92</v>
      </c>
      <c r="AX56" s="13">
        <v>2</v>
      </c>
      <c r="AY56" s="13"/>
      <c r="AZ56" s="13">
        <f t="shared" si="31"/>
        <v>21.84</v>
      </c>
      <c r="BA56" s="14">
        <f t="shared" si="30"/>
        <v>1.7484499999999952</v>
      </c>
      <c r="BB56" s="14">
        <f t="shared" si="30"/>
        <v>1.7484499999999952</v>
      </c>
    </row>
    <row r="57" spans="1:54" x14ac:dyDescent="0.2">
      <c r="A57" s="9">
        <v>43</v>
      </c>
      <c r="B57" s="2">
        <v>9.61</v>
      </c>
      <c r="C57" s="2">
        <v>9.61</v>
      </c>
      <c r="D57" s="2">
        <v>10.06</v>
      </c>
      <c r="H57" s="4">
        <f t="array" ref="H57:H68">_xlfn.MODE.MULT(C15:C114)</f>
        <v>8.8000000000000007</v>
      </c>
      <c r="P57" s="45"/>
      <c r="W57" s="4"/>
      <c r="AB57" s="67"/>
      <c r="AE57"/>
      <c r="AF57"/>
      <c r="AG57" s="63"/>
      <c r="AH57"/>
      <c r="AL57" s="66"/>
      <c r="AM57" s="66"/>
      <c r="AN57" s="66"/>
      <c r="AO57" s="78"/>
      <c r="AP57" s="78"/>
      <c r="AQ57" s="67"/>
      <c r="AW57" s="13"/>
      <c r="AX57" s="13"/>
      <c r="AY57" s="13"/>
      <c r="AZ57" s="13"/>
      <c r="BA57" s="13"/>
      <c r="BB57" s="13"/>
    </row>
    <row r="58" spans="1:54" x14ac:dyDescent="0.2">
      <c r="A58" s="9">
        <v>44</v>
      </c>
      <c r="B58" s="2">
        <v>9.67</v>
      </c>
      <c r="C58" s="2">
        <v>9.67</v>
      </c>
      <c r="D58" s="2">
        <v>10.039999999999999</v>
      </c>
      <c r="H58" s="4">
        <v>8.84</v>
      </c>
      <c r="P58" s="45"/>
      <c r="W58" s="4"/>
      <c r="AB58" s="67"/>
      <c r="AE58"/>
      <c r="AF58"/>
      <c r="AG58" s="63"/>
      <c r="AH58"/>
      <c r="AL58" s="66"/>
      <c r="AM58" s="66"/>
      <c r="AN58" s="66"/>
      <c r="AO58" s="78"/>
      <c r="AP58" s="78"/>
      <c r="AQ58" s="67"/>
      <c r="AW58" s="13"/>
      <c r="AX58" s="13"/>
      <c r="AY58" s="13"/>
      <c r="AZ58" s="13"/>
      <c r="BA58" s="13"/>
      <c r="BB58" s="13"/>
    </row>
    <row r="59" spans="1:54" ht="22.5" x14ac:dyDescent="0.2">
      <c r="A59" s="9">
        <v>45</v>
      </c>
      <c r="B59" s="2">
        <v>9.68</v>
      </c>
      <c r="C59" s="2">
        <v>9.68</v>
      </c>
      <c r="D59" s="2">
        <v>10.029999999999999</v>
      </c>
      <c r="H59" s="4">
        <v>8.9600000000000009</v>
      </c>
      <c r="P59" s="45"/>
      <c r="W59" s="4"/>
      <c r="AB59" s="67"/>
      <c r="AE59"/>
      <c r="AF59"/>
      <c r="AG59" s="63"/>
      <c r="AH59"/>
      <c r="AL59" s="66"/>
      <c r="AM59" s="66"/>
      <c r="AN59" s="66"/>
      <c r="AO59" s="78"/>
      <c r="AP59" s="78"/>
      <c r="AQ59" s="67"/>
      <c r="AW59" s="119" t="s">
        <v>64</v>
      </c>
      <c r="AX59" s="97" t="s">
        <v>65</v>
      </c>
      <c r="AY59" s="74"/>
      <c r="AZ59" s="26" t="s">
        <v>71</v>
      </c>
      <c r="BA59" s="74" t="s">
        <v>72</v>
      </c>
      <c r="BB59" s="74" t="s">
        <v>73</v>
      </c>
    </row>
    <row r="60" spans="1:54" x14ac:dyDescent="0.2">
      <c r="A60" s="9">
        <v>46</v>
      </c>
      <c r="B60" s="2">
        <v>9.7100000000000009</v>
      </c>
      <c r="C60" s="2">
        <v>9.7100000000000009</v>
      </c>
      <c r="D60" s="2">
        <v>10.02</v>
      </c>
      <c r="H60" s="4">
        <v>9.24</v>
      </c>
      <c r="P60" s="45"/>
      <c r="W60" s="4"/>
      <c r="AB60" s="67"/>
      <c r="AE60"/>
      <c r="AF60"/>
      <c r="AG60" s="63"/>
      <c r="AH60"/>
      <c r="AL60" s="66"/>
      <c r="AM60" s="66"/>
      <c r="AN60" s="66"/>
      <c r="AO60" s="78"/>
      <c r="AP60" s="78"/>
      <c r="AQ60" s="67"/>
      <c r="AW60" s="120"/>
      <c r="AX60" s="98"/>
      <c r="AY60" s="75"/>
      <c r="AZ60" s="27">
        <f>AZ63/AX63</f>
        <v>8.1999999999999993</v>
      </c>
      <c r="BA60" s="28">
        <f>BA63/10</f>
        <v>0.1155999999999999</v>
      </c>
      <c r="BB60" s="28">
        <f>BB63/9</f>
        <v>0.12844444444444433</v>
      </c>
    </row>
    <row r="61" spans="1:54" ht="22.5" x14ac:dyDescent="0.2">
      <c r="A61" s="9">
        <v>47</v>
      </c>
      <c r="B61" s="2">
        <v>9.76</v>
      </c>
      <c r="C61" s="2">
        <v>9.76</v>
      </c>
      <c r="D61" s="2">
        <v>10.01</v>
      </c>
      <c r="H61" s="4">
        <v>9.32</v>
      </c>
      <c r="P61" s="45"/>
      <c r="W61" s="4"/>
      <c r="AB61" s="67"/>
      <c r="AE61"/>
      <c r="AF61"/>
      <c r="AG61" s="63"/>
      <c r="AH61"/>
      <c r="AL61" s="66"/>
      <c r="AM61" s="66"/>
      <c r="AN61" s="66"/>
      <c r="AO61" s="78"/>
      <c r="AP61" s="78"/>
      <c r="AQ61" s="67"/>
      <c r="AW61" s="120"/>
      <c r="AX61" s="98"/>
      <c r="AY61" s="75"/>
      <c r="AZ61" s="29"/>
      <c r="BA61" s="75" t="s">
        <v>74</v>
      </c>
      <c r="BB61" s="75" t="s">
        <v>75</v>
      </c>
    </row>
    <row r="62" spans="1:54" x14ac:dyDescent="0.2">
      <c r="A62" s="9">
        <v>48</v>
      </c>
      <c r="B62" s="2">
        <v>9.82</v>
      </c>
      <c r="C62" s="2">
        <v>9.82</v>
      </c>
      <c r="D62" s="2">
        <v>10</v>
      </c>
      <c r="H62" s="4">
        <v>9.48</v>
      </c>
      <c r="P62" s="45"/>
      <c r="W62" s="4"/>
      <c r="AB62" s="67"/>
      <c r="AE62"/>
      <c r="AF62"/>
      <c r="AG62" s="63"/>
      <c r="AH62"/>
      <c r="AL62" s="66"/>
      <c r="AM62" s="66"/>
      <c r="AN62" s="66"/>
      <c r="AO62" s="78"/>
      <c r="AP62" s="78"/>
      <c r="AQ62" s="67"/>
      <c r="AW62" s="120"/>
      <c r="AX62" s="98"/>
      <c r="AY62" s="75"/>
      <c r="AZ62" s="26" t="s">
        <v>60</v>
      </c>
      <c r="BA62" s="75" t="s">
        <v>60</v>
      </c>
      <c r="BB62" s="75" t="s">
        <v>60</v>
      </c>
    </row>
    <row r="63" spans="1:54" x14ac:dyDescent="0.2">
      <c r="A63" s="9">
        <v>49</v>
      </c>
      <c r="B63" s="2">
        <v>9.8699999999999992</v>
      </c>
      <c r="C63" s="2">
        <v>9.8699999999999992</v>
      </c>
      <c r="D63" s="2">
        <v>9.98</v>
      </c>
      <c r="H63" s="4">
        <v>9.59</v>
      </c>
      <c r="P63" s="45"/>
      <c r="W63" s="4"/>
      <c r="AE63"/>
      <c r="AF63"/>
      <c r="AG63" s="63"/>
      <c r="AH63"/>
      <c r="AL63" s="66"/>
      <c r="AM63" s="66"/>
      <c r="AN63" s="66"/>
      <c r="AO63" s="78"/>
      <c r="AP63" s="78"/>
      <c r="AQ63" s="67"/>
      <c r="AW63" s="120"/>
      <c r="AX63" s="30">
        <v>10</v>
      </c>
      <c r="AY63" s="30"/>
      <c r="AZ63" s="27">
        <f>SUM(AZ64:AZ65)</f>
        <v>82</v>
      </c>
      <c r="BA63" s="28">
        <f>(SUM(BA64:BA65))</f>
        <v>1.155999999999999</v>
      </c>
      <c r="BB63" s="28">
        <f>(SUM(BB64:BB65))</f>
        <v>1.155999999999999</v>
      </c>
    </row>
    <row r="64" spans="1:54" x14ac:dyDescent="0.2">
      <c r="A64" s="9">
        <v>50</v>
      </c>
      <c r="B64" s="2">
        <v>9.8800000000000008</v>
      </c>
      <c r="C64" s="2">
        <v>9.8800000000000008</v>
      </c>
      <c r="D64" s="2">
        <v>9.98</v>
      </c>
      <c r="H64" s="4">
        <v>9.98</v>
      </c>
      <c r="P64" s="45"/>
      <c r="W64" s="4"/>
      <c r="AE64"/>
      <c r="AF64"/>
      <c r="AG64" s="63"/>
      <c r="AH64"/>
      <c r="AL64" s="66"/>
      <c r="AM64" s="66"/>
      <c r="AN64" s="66"/>
      <c r="AO64" s="78"/>
      <c r="AP64" s="78"/>
      <c r="AQ64" s="67"/>
      <c r="AW64" s="13">
        <v>7.52</v>
      </c>
      <c r="AX64" s="13">
        <v>2</v>
      </c>
      <c r="AY64" s="13"/>
      <c r="AZ64" s="13">
        <f>AX64*AW64</f>
        <v>15.04</v>
      </c>
      <c r="BA64" s="14">
        <f>$AX64*POWER($AW64-$AZ$60,2)</f>
        <v>0.92479999999999918</v>
      </c>
      <c r="BB64" s="14">
        <f>$AX64*POWER($AW64-$AZ$60,2)</f>
        <v>0.92479999999999918</v>
      </c>
    </row>
    <row r="65" spans="1:54" x14ac:dyDescent="0.2">
      <c r="A65" s="23">
        <v>51</v>
      </c>
      <c r="B65" s="2">
        <v>9.98</v>
      </c>
      <c r="C65" s="2">
        <v>9.98</v>
      </c>
      <c r="D65" s="2">
        <v>9.8800000000000008</v>
      </c>
      <c r="H65" s="4">
        <v>10.14</v>
      </c>
      <c r="P65" s="45"/>
      <c r="W65" s="4"/>
      <c r="AE65"/>
      <c r="AF65"/>
      <c r="AG65" s="63"/>
      <c r="AH65"/>
      <c r="AL65" s="66"/>
      <c r="AM65" s="66"/>
      <c r="AN65" s="66"/>
      <c r="AO65" s="78"/>
      <c r="AP65" s="78"/>
      <c r="AQ65" s="67"/>
      <c r="AW65" s="13">
        <v>8.3699999999999992</v>
      </c>
      <c r="AX65" s="13">
        <v>8</v>
      </c>
      <c r="AY65" s="13"/>
      <c r="AZ65" s="13">
        <f t="shared" ref="AZ65" si="32">AX65*AW65</f>
        <v>66.959999999999994</v>
      </c>
      <c r="BA65" s="14">
        <f>$AX65*POWER($AW65-$AZ$60,2)</f>
        <v>0.23119999999999979</v>
      </c>
      <c r="BB65" s="14">
        <f>$AX65*POWER($AW65-$AZ$60,2)</f>
        <v>0.23119999999999979</v>
      </c>
    </row>
    <row r="66" spans="1:54" x14ac:dyDescent="0.2">
      <c r="A66" s="23">
        <v>52</v>
      </c>
      <c r="B66" s="2">
        <v>9.98</v>
      </c>
      <c r="C66" s="2">
        <v>9.98</v>
      </c>
      <c r="D66" s="2">
        <v>9.8699999999999992</v>
      </c>
      <c r="H66" s="4">
        <v>10.28</v>
      </c>
      <c r="P66" s="45"/>
      <c r="W66" s="4"/>
      <c r="AE66"/>
      <c r="AF66"/>
      <c r="AG66" s="63"/>
      <c r="AH66"/>
      <c r="AL66" s="66"/>
      <c r="AM66" s="66"/>
      <c r="AN66" s="66"/>
      <c r="AO66" s="78"/>
      <c r="AP66" s="78"/>
      <c r="AQ66" s="67"/>
      <c r="AW66" s="4"/>
      <c r="AX66" s="4"/>
      <c r="AY66" s="4"/>
      <c r="AZ66" s="4"/>
    </row>
    <row r="67" spans="1:54" x14ac:dyDescent="0.2">
      <c r="A67" s="23">
        <v>53</v>
      </c>
      <c r="B67" s="2">
        <v>10</v>
      </c>
      <c r="C67" s="2">
        <v>10</v>
      </c>
      <c r="D67" s="2">
        <v>9.82</v>
      </c>
      <c r="H67" s="4">
        <v>10.56</v>
      </c>
      <c r="P67" s="45"/>
      <c r="W67" s="4"/>
      <c r="AE67"/>
      <c r="AF67"/>
      <c r="AG67" s="63"/>
      <c r="AH67"/>
      <c r="AL67" s="66"/>
      <c r="AM67" s="66"/>
      <c r="AN67" s="66"/>
      <c r="AO67" s="78"/>
      <c r="AP67" s="78"/>
      <c r="AQ67" s="67"/>
    </row>
    <row r="68" spans="1:54" x14ac:dyDescent="0.2">
      <c r="A68" s="23">
        <v>54</v>
      </c>
      <c r="B68" s="2">
        <v>10.01</v>
      </c>
      <c r="C68" s="2">
        <v>10.01</v>
      </c>
      <c r="D68" s="2">
        <v>9.76</v>
      </c>
      <c r="H68" s="4" t="e">
        <v>#N/A</v>
      </c>
      <c r="P68" s="45"/>
      <c r="W68" s="42"/>
      <c r="AE68"/>
      <c r="AF68"/>
      <c r="AG68" s="63"/>
      <c r="AH68"/>
      <c r="AL68" s="66"/>
      <c r="AM68" s="66"/>
      <c r="AN68" s="66"/>
      <c r="AO68" s="78"/>
      <c r="AP68" s="78"/>
      <c r="AQ68" s="67"/>
    </row>
    <row r="69" spans="1:54" x14ac:dyDescent="0.2">
      <c r="A69" s="23">
        <v>55</v>
      </c>
      <c r="B69" s="2">
        <v>10.029999999999999</v>
      </c>
      <c r="C69" s="2">
        <v>10.02</v>
      </c>
      <c r="D69" s="2">
        <v>9.7100000000000009</v>
      </c>
      <c r="P69" s="45"/>
      <c r="W69" s="42"/>
      <c r="AE69"/>
      <c r="AF69"/>
      <c r="AG69" s="63"/>
      <c r="AH69"/>
      <c r="AL69" s="66"/>
      <c r="AM69" s="66"/>
      <c r="AN69" s="66"/>
      <c r="AO69" s="78"/>
      <c r="AP69" s="78"/>
      <c r="AQ69" s="67"/>
    </row>
    <row r="70" spans="1:54" x14ac:dyDescent="0.2">
      <c r="A70" s="23">
        <v>56</v>
      </c>
      <c r="B70" s="2">
        <v>10.039999999999999</v>
      </c>
      <c r="C70" s="2">
        <v>10.029999999999999</v>
      </c>
      <c r="D70" s="2">
        <v>9.68</v>
      </c>
      <c r="P70" s="45"/>
      <c r="W70" s="42"/>
      <c r="AE70"/>
      <c r="AF70"/>
      <c r="AG70" s="63"/>
      <c r="AH70"/>
      <c r="AL70" s="66"/>
      <c r="AM70" s="66"/>
      <c r="AN70" s="66"/>
      <c r="AO70" s="78"/>
      <c r="AP70" s="78"/>
      <c r="AQ70" s="67"/>
    </row>
    <row r="71" spans="1:54" x14ac:dyDescent="0.2">
      <c r="A71" s="23">
        <v>57</v>
      </c>
      <c r="B71" s="2">
        <v>10.06</v>
      </c>
      <c r="C71" s="2">
        <v>10.039999999999999</v>
      </c>
      <c r="D71" s="2">
        <v>9.67</v>
      </c>
      <c r="P71" s="45"/>
      <c r="W71" s="42"/>
      <c r="AE71"/>
      <c r="AF71"/>
      <c r="AG71" s="63"/>
      <c r="AH71"/>
      <c r="AL71" s="66"/>
      <c r="AM71" s="66"/>
      <c r="AN71" s="66"/>
      <c r="AO71" s="78"/>
      <c r="AP71" s="78"/>
      <c r="AQ71" s="67"/>
    </row>
    <row r="72" spans="1:54" x14ac:dyDescent="0.2">
      <c r="A72" s="23">
        <v>58</v>
      </c>
      <c r="B72" s="2">
        <v>10.07</v>
      </c>
      <c r="C72" s="2">
        <v>10.06</v>
      </c>
      <c r="D72" s="2">
        <v>9.61</v>
      </c>
      <c r="P72" s="45"/>
      <c r="W72" s="42"/>
      <c r="AE72"/>
      <c r="AF72"/>
      <c r="AG72" s="63"/>
      <c r="AH72"/>
      <c r="AL72" s="66"/>
      <c r="AM72" s="66"/>
      <c r="AN72" s="66"/>
      <c r="AO72" s="78"/>
      <c r="AP72" s="78"/>
      <c r="AQ72" s="67"/>
    </row>
    <row r="73" spans="1:54" x14ac:dyDescent="0.2">
      <c r="A73" s="23">
        <v>59</v>
      </c>
      <c r="B73" s="2">
        <v>10.09</v>
      </c>
      <c r="C73" s="2">
        <v>10.07</v>
      </c>
      <c r="D73" s="2">
        <v>9.6</v>
      </c>
      <c r="P73" s="45"/>
      <c r="W73" s="42"/>
      <c r="AE73"/>
      <c r="AF73"/>
      <c r="AG73" s="63"/>
      <c r="AH73"/>
      <c r="AL73" s="66"/>
      <c r="AM73" s="66"/>
      <c r="AN73" s="66"/>
      <c r="AO73" s="78"/>
      <c r="AP73" s="78"/>
      <c r="AQ73" s="67"/>
    </row>
    <row r="74" spans="1:54" x14ac:dyDescent="0.2">
      <c r="A74" s="23">
        <v>60</v>
      </c>
      <c r="B74" s="2">
        <v>10.1</v>
      </c>
      <c r="C74" s="2">
        <v>10.09</v>
      </c>
      <c r="D74" s="2">
        <v>9.59</v>
      </c>
      <c r="P74" s="45"/>
      <c r="W74" s="42"/>
      <c r="AE74"/>
      <c r="AF74"/>
      <c r="AG74" s="63"/>
      <c r="AH74"/>
      <c r="AL74" s="66"/>
      <c r="AM74" s="66"/>
      <c r="AN74" s="66"/>
      <c r="AO74" s="78"/>
      <c r="AP74" s="78"/>
      <c r="AQ74" s="67"/>
    </row>
    <row r="75" spans="1:54" x14ac:dyDescent="0.2">
      <c r="A75" s="9">
        <v>61</v>
      </c>
      <c r="B75" s="2">
        <v>10.14</v>
      </c>
      <c r="C75" s="2">
        <v>10.1</v>
      </c>
      <c r="D75" s="2">
        <v>9.59</v>
      </c>
      <c r="P75" s="45"/>
      <c r="W75" s="42"/>
      <c r="AE75"/>
      <c r="AF75"/>
      <c r="AG75" s="63"/>
      <c r="AH75"/>
      <c r="AL75" s="66"/>
      <c r="AM75" s="66"/>
      <c r="AN75" s="66"/>
      <c r="AO75" s="78"/>
      <c r="AP75" s="78"/>
      <c r="AQ75" s="67"/>
    </row>
    <row r="76" spans="1:54" x14ac:dyDescent="0.2">
      <c r="A76" s="9">
        <v>62</v>
      </c>
      <c r="B76" s="2">
        <v>10.14</v>
      </c>
      <c r="C76" s="2">
        <v>10.14</v>
      </c>
      <c r="D76" s="2">
        <v>9.56</v>
      </c>
      <c r="P76" s="45"/>
      <c r="W76" s="42"/>
      <c r="AE76"/>
      <c r="AF76"/>
      <c r="AG76" s="63"/>
      <c r="AH76"/>
      <c r="AL76" s="66"/>
      <c r="AM76" s="66"/>
      <c r="AN76" s="66"/>
      <c r="AO76" s="78"/>
      <c r="AP76" s="78"/>
      <c r="AQ76" s="67"/>
    </row>
    <row r="77" spans="1:54" x14ac:dyDescent="0.2">
      <c r="A77" s="9">
        <v>63</v>
      </c>
      <c r="B77" s="2">
        <v>10.16</v>
      </c>
      <c r="C77" s="2">
        <v>10.14</v>
      </c>
      <c r="D77" s="2">
        <v>9.5299999999999994</v>
      </c>
      <c r="P77" s="45"/>
      <c r="W77" s="4"/>
      <c r="AE77"/>
      <c r="AF77"/>
      <c r="AG77" s="63"/>
      <c r="AH77"/>
      <c r="AL77" s="66"/>
      <c r="AM77" s="66"/>
      <c r="AN77" s="66"/>
      <c r="AO77" s="78"/>
      <c r="AP77" s="78"/>
      <c r="AQ77" s="67"/>
    </row>
    <row r="78" spans="1:54" x14ac:dyDescent="0.2">
      <c r="A78" s="9">
        <v>64</v>
      </c>
      <c r="B78" s="2">
        <v>10.18</v>
      </c>
      <c r="C78" s="2">
        <v>10.16</v>
      </c>
      <c r="D78" s="2">
        <v>9.52</v>
      </c>
      <c r="P78" s="45"/>
      <c r="W78" s="4"/>
      <c r="AE78"/>
      <c r="AF78"/>
      <c r="AG78" s="63"/>
      <c r="AH78"/>
      <c r="AL78" s="66"/>
      <c r="AM78" s="66"/>
      <c r="AN78" s="66"/>
      <c r="AO78" s="78"/>
      <c r="AP78" s="78"/>
      <c r="AQ78" s="67"/>
    </row>
    <row r="79" spans="1:54" x14ac:dyDescent="0.2">
      <c r="A79" s="9">
        <v>65</v>
      </c>
      <c r="B79" s="2">
        <v>10.210000000000001</v>
      </c>
      <c r="C79" s="2">
        <v>10.18</v>
      </c>
      <c r="D79" s="2">
        <v>9.48</v>
      </c>
      <c r="P79" s="45"/>
      <c r="W79" s="4"/>
      <c r="AE79"/>
      <c r="AF79"/>
      <c r="AG79" s="63"/>
      <c r="AH79"/>
      <c r="AL79" s="66"/>
      <c r="AM79" s="66"/>
      <c r="AN79" s="66"/>
      <c r="AO79" s="78"/>
      <c r="AP79" s="78"/>
      <c r="AQ79" s="67"/>
    </row>
    <row r="80" spans="1:54" x14ac:dyDescent="0.2">
      <c r="A80" s="9">
        <v>66</v>
      </c>
      <c r="B80" s="2">
        <v>10.220000000000001</v>
      </c>
      <c r="C80" s="2">
        <v>10.210000000000001</v>
      </c>
      <c r="D80" s="2">
        <v>9.48</v>
      </c>
      <c r="P80" s="45"/>
      <c r="W80" s="4"/>
      <c r="AE80"/>
      <c r="AF80"/>
      <c r="AG80" s="63"/>
      <c r="AH80"/>
      <c r="AL80" s="66"/>
      <c r="AM80" s="66"/>
      <c r="AN80" s="66"/>
      <c r="AO80" s="78"/>
      <c r="AP80" s="78"/>
      <c r="AQ80" s="67"/>
    </row>
    <row r="81" spans="1:43" x14ac:dyDescent="0.2">
      <c r="A81" s="9">
        <v>67</v>
      </c>
      <c r="B81" s="2">
        <v>10.24</v>
      </c>
      <c r="C81" s="2">
        <v>10.220000000000001</v>
      </c>
      <c r="D81" s="2">
        <v>9.4</v>
      </c>
      <c r="P81" s="45"/>
      <c r="W81" s="4"/>
      <c r="AE81"/>
      <c r="AF81"/>
      <c r="AG81" s="63"/>
      <c r="AH81"/>
      <c r="AL81" s="66"/>
      <c r="AM81" s="66"/>
      <c r="AN81" s="66"/>
      <c r="AO81" s="78"/>
      <c r="AP81" s="78"/>
      <c r="AQ81" s="67"/>
    </row>
    <row r="82" spans="1:43" x14ac:dyDescent="0.2">
      <c r="A82" s="9">
        <v>68</v>
      </c>
      <c r="B82" s="2">
        <v>10.26</v>
      </c>
      <c r="C82" s="2">
        <v>10.24</v>
      </c>
      <c r="D82" s="2">
        <v>9.3800000000000008</v>
      </c>
      <c r="P82" s="45"/>
      <c r="W82" s="4"/>
      <c r="AE82"/>
      <c r="AF82"/>
      <c r="AG82" s="63"/>
      <c r="AH82"/>
      <c r="AL82" s="66"/>
      <c r="AM82" s="66"/>
      <c r="AN82" s="66"/>
      <c r="AO82" s="78"/>
      <c r="AP82" s="78"/>
      <c r="AQ82" s="67"/>
    </row>
    <row r="83" spans="1:43" x14ac:dyDescent="0.2">
      <c r="A83" s="9">
        <v>69</v>
      </c>
      <c r="B83" s="2">
        <v>10.28</v>
      </c>
      <c r="C83" s="2">
        <v>10.26</v>
      </c>
      <c r="D83" s="2">
        <v>9.36</v>
      </c>
      <c r="P83" s="45"/>
      <c r="W83" s="4"/>
      <c r="AE83"/>
      <c r="AF83"/>
      <c r="AG83" s="63"/>
      <c r="AH83"/>
      <c r="AL83" s="66"/>
      <c r="AM83" s="66"/>
      <c r="AN83" s="66"/>
      <c r="AO83" s="78"/>
      <c r="AP83" s="78"/>
      <c r="AQ83" s="67"/>
    </row>
    <row r="84" spans="1:43" x14ac:dyDescent="0.2">
      <c r="A84" s="9">
        <v>70</v>
      </c>
      <c r="B84" s="2">
        <v>10.28</v>
      </c>
      <c r="C84" s="2">
        <v>10.28</v>
      </c>
      <c r="D84" s="2">
        <v>9.33</v>
      </c>
      <c r="P84" s="45"/>
      <c r="W84" s="4"/>
      <c r="AE84"/>
      <c r="AF84"/>
      <c r="AG84" s="63"/>
      <c r="AH84"/>
      <c r="AL84" s="66"/>
      <c r="AM84" s="66"/>
      <c r="AN84" s="66"/>
      <c r="AO84" s="78"/>
      <c r="AP84" s="78"/>
      <c r="AQ84" s="67"/>
    </row>
    <row r="85" spans="1:43" x14ac:dyDescent="0.2">
      <c r="A85" s="23">
        <v>71</v>
      </c>
      <c r="B85" s="2">
        <v>10.31</v>
      </c>
      <c r="C85" s="2">
        <v>10.28</v>
      </c>
      <c r="D85" s="2">
        <v>9.32</v>
      </c>
      <c r="P85" s="45"/>
      <c r="AE85"/>
      <c r="AF85"/>
      <c r="AG85" s="63"/>
      <c r="AH85"/>
      <c r="AL85" s="66"/>
      <c r="AM85" s="66"/>
      <c r="AN85" s="66"/>
      <c r="AO85" s="78"/>
      <c r="AP85" s="78"/>
      <c r="AQ85" s="67"/>
    </row>
    <row r="86" spans="1:43" x14ac:dyDescent="0.2">
      <c r="A86" s="23">
        <v>72</v>
      </c>
      <c r="B86" s="2">
        <v>10.38</v>
      </c>
      <c r="C86" s="2">
        <v>10.31</v>
      </c>
      <c r="D86" s="2">
        <v>9.32</v>
      </c>
      <c r="P86" s="45"/>
      <c r="AE86"/>
      <c r="AF86"/>
      <c r="AG86" s="63"/>
      <c r="AH86"/>
      <c r="AL86" s="66"/>
      <c r="AM86" s="66"/>
      <c r="AN86" s="66"/>
      <c r="AO86" s="78"/>
      <c r="AP86" s="78"/>
      <c r="AQ86" s="67"/>
    </row>
    <row r="87" spans="1:43" x14ac:dyDescent="0.2">
      <c r="A87" s="23">
        <v>73</v>
      </c>
      <c r="B87" s="2">
        <v>10.41</v>
      </c>
      <c r="C87" s="2">
        <v>10.38</v>
      </c>
      <c r="D87" s="2">
        <v>9.3000000000000007</v>
      </c>
      <c r="P87" s="45"/>
      <c r="AE87"/>
      <c r="AF87"/>
      <c r="AG87" s="63"/>
      <c r="AH87"/>
      <c r="AL87" s="66"/>
      <c r="AM87" s="66"/>
      <c r="AN87" s="66"/>
      <c r="AO87" s="78"/>
      <c r="AP87" s="78"/>
      <c r="AQ87" s="67"/>
    </row>
    <row r="88" spans="1:43" x14ac:dyDescent="0.2">
      <c r="A88" s="23">
        <v>74</v>
      </c>
      <c r="B88" s="2">
        <v>10.43</v>
      </c>
      <c r="C88" s="2">
        <v>10.41</v>
      </c>
      <c r="D88" s="2">
        <v>9.2899999999999991</v>
      </c>
      <c r="P88" s="45"/>
      <c r="AE88"/>
      <c r="AF88"/>
      <c r="AG88" s="63"/>
      <c r="AH88"/>
      <c r="AL88" s="66"/>
      <c r="AM88" s="66"/>
      <c r="AN88" s="66"/>
      <c r="AO88" s="78"/>
      <c r="AP88" s="78"/>
      <c r="AQ88" s="67"/>
    </row>
    <row r="89" spans="1:43" x14ac:dyDescent="0.2">
      <c r="A89" s="23">
        <v>75</v>
      </c>
      <c r="B89" s="2">
        <v>10.49</v>
      </c>
      <c r="C89" s="2">
        <v>10.43</v>
      </c>
      <c r="D89" s="2">
        <v>9.2799999999999994</v>
      </c>
      <c r="P89" s="45"/>
      <c r="AE89"/>
      <c r="AF89"/>
      <c r="AG89" s="63"/>
      <c r="AH89"/>
      <c r="AL89" s="66"/>
      <c r="AM89" s="66"/>
      <c r="AN89" s="66"/>
      <c r="AO89" s="78"/>
      <c r="AP89" s="78"/>
      <c r="AQ89" s="67"/>
    </row>
    <row r="90" spans="1:43" x14ac:dyDescent="0.2">
      <c r="A90" s="23">
        <v>76</v>
      </c>
      <c r="B90" s="2">
        <v>10.51</v>
      </c>
      <c r="C90" s="2">
        <v>10.49</v>
      </c>
      <c r="D90" s="2">
        <v>9.24</v>
      </c>
      <c r="P90" s="45"/>
      <c r="AE90"/>
      <c r="AF90"/>
      <c r="AG90" s="63"/>
      <c r="AH90"/>
      <c r="AL90" s="66"/>
      <c r="AM90" s="66"/>
      <c r="AN90" s="66"/>
      <c r="AO90" s="78"/>
      <c r="AP90" s="78"/>
      <c r="AQ90" s="67"/>
    </row>
    <row r="91" spans="1:43" x14ac:dyDescent="0.2">
      <c r="A91" s="23">
        <v>77</v>
      </c>
      <c r="B91" s="2">
        <v>10.54</v>
      </c>
      <c r="C91" s="2">
        <v>10.51</v>
      </c>
      <c r="D91" s="2">
        <v>9.24</v>
      </c>
      <c r="P91" s="45"/>
      <c r="AE91"/>
      <c r="AF91"/>
      <c r="AG91" s="63"/>
      <c r="AH91"/>
      <c r="AL91" s="66"/>
      <c r="AM91" s="66"/>
      <c r="AN91" s="66"/>
      <c r="AO91" s="78"/>
      <c r="AP91" s="78"/>
      <c r="AQ91" s="67"/>
    </row>
    <row r="92" spans="1:43" x14ac:dyDescent="0.2">
      <c r="A92" s="23">
        <v>78</v>
      </c>
      <c r="B92" s="2">
        <v>10.56</v>
      </c>
      <c r="C92" s="2">
        <v>10.54</v>
      </c>
      <c r="D92" s="2">
        <v>9.1199999999999992</v>
      </c>
      <c r="P92" s="45"/>
      <c r="AE92"/>
      <c r="AF92"/>
      <c r="AG92" s="63"/>
      <c r="AH92"/>
      <c r="AL92" s="66"/>
      <c r="AM92" s="66"/>
      <c r="AN92" s="66"/>
      <c r="AO92" s="78"/>
      <c r="AP92" s="78"/>
      <c r="AQ92" s="67"/>
    </row>
    <row r="93" spans="1:43" x14ac:dyDescent="0.2">
      <c r="A93" s="23">
        <v>79</v>
      </c>
      <c r="B93" s="2">
        <v>10.56</v>
      </c>
      <c r="C93" s="2">
        <v>10.56</v>
      </c>
      <c r="D93" s="2">
        <v>9.07</v>
      </c>
      <c r="P93" s="45"/>
      <c r="AE93"/>
      <c r="AF93"/>
      <c r="AG93" s="63"/>
      <c r="AH93"/>
      <c r="AL93" s="66"/>
      <c r="AM93" s="66"/>
      <c r="AN93" s="66"/>
      <c r="AO93" s="78"/>
      <c r="AP93" s="78"/>
      <c r="AQ93" s="67"/>
    </row>
    <row r="94" spans="1:43" x14ac:dyDescent="0.2">
      <c r="A94" s="23">
        <v>80</v>
      </c>
      <c r="B94" s="2">
        <v>10.67</v>
      </c>
      <c r="C94" s="2">
        <v>10.56</v>
      </c>
      <c r="D94" s="2">
        <v>9.0500000000000007</v>
      </c>
      <c r="P94" s="45"/>
      <c r="AE94"/>
      <c r="AF94"/>
      <c r="AG94" s="63"/>
      <c r="AH94"/>
      <c r="AL94" s="66"/>
      <c r="AM94" s="66"/>
      <c r="AN94" s="66"/>
      <c r="AO94" s="78"/>
      <c r="AP94" s="78"/>
      <c r="AQ94" s="67"/>
    </row>
    <row r="95" spans="1:43" x14ac:dyDescent="0.2">
      <c r="A95" s="9">
        <v>81</v>
      </c>
      <c r="B95" s="2">
        <v>10.7</v>
      </c>
      <c r="C95" s="2">
        <v>10.67</v>
      </c>
      <c r="D95" s="2">
        <v>8.99</v>
      </c>
      <c r="P95" s="45"/>
      <c r="AE95"/>
      <c r="AF95"/>
      <c r="AG95" s="63"/>
      <c r="AH95"/>
      <c r="AL95" s="66"/>
      <c r="AM95" s="66"/>
      <c r="AN95" s="66"/>
      <c r="AO95" s="78"/>
      <c r="AP95" s="78"/>
      <c r="AQ95" s="67"/>
    </row>
    <row r="96" spans="1:43" x14ac:dyDescent="0.2">
      <c r="A96" s="9">
        <v>82</v>
      </c>
      <c r="B96" s="2">
        <v>10.74</v>
      </c>
      <c r="C96" s="2">
        <v>10.7</v>
      </c>
      <c r="D96" s="2">
        <v>8.9600000000000009</v>
      </c>
      <c r="P96" s="45"/>
      <c r="AE96"/>
      <c r="AF96"/>
      <c r="AG96" s="63"/>
      <c r="AH96"/>
      <c r="AL96" s="66"/>
      <c r="AM96" s="66"/>
      <c r="AN96" s="66"/>
      <c r="AO96" s="78"/>
      <c r="AP96" s="78"/>
      <c r="AQ96" s="67"/>
    </row>
    <row r="97" spans="1:43" x14ac:dyDescent="0.2">
      <c r="A97" s="9">
        <v>83</v>
      </c>
      <c r="B97" s="2">
        <v>10.76</v>
      </c>
      <c r="C97" s="2">
        <v>10.74</v>
      </c>
      <c r="D97" s="2">
        <v>8.9600000000000009</v>
      </c>
      <c r="P97" s="45"/>
      <c r="AE97"/>
      <c r="AF97"/>
      <c r="AG97" s="63"/>
      <c r="AH97"/>
      <c r="AL97" s="66"/>
      <c r="AM97" s="66"/>
      <c r="AN97" s="66"/>
      <c r="AO97" s="78"/>
      <c r="AP97" s="78"/>
      <c r="AQ97" s="67"/>
    </row>
    <row r="98" spans="1:43" x14ac:dyDescent="0.2">
      <c r="A98" s="9">
        <v>84</v>
      </c>
      <c r="B98" s="2">
        <v>10.77</v>
      </c>
      <c r="C98" s="2">
        <v>10.76</v>
      </c>
      <c r="D98" s="2">
        <v>8.9</v>
      </c>
      <c r="P98" s="45"/>
      <c r="AE98"/>
      <c r="AF98"/>
      <c r="AG98" s="63"/>
      <c r="AH98"/>
      <c r="AL98" s="66"/>
      <c r="AM98" s="66"/>
      <c r="AN98" s="66"/>
      <c r="AO98" s="78"/>
      <c r="AP98" s="78"/>
      <c r="AQ98" s="67"/>
    </row>
    <row r="99" spans="1:43" x14ac:dyDescent="0.2">
      <c r="A99" s="9">
        <v>85</v>
      </c>
      <c r="B99" s="2">
        <v>10.79</v>
      </c>
      <c r="C99" s="2">
        <v>10.77</v>
      </c>
      <c r="D99" s="2">
        <v>8.89</v>
      </c>
      <c r="P99" s="45"/>
      <c r="AE99"/>
      <c r="AF99"/>
      <c r="AG99" s="63"/>
      <c r="AH99"/>
      <c r="AL99" s="66"/>
      <c r="AM99" s="66"/>
      <c r="AN99" s="66"/>
      <c r="AO99" s="78"/>
      <c r="AP99" s="78"/>
      <c r="AQ99" s="67"/>
    </row>
    <row r="100" spans="1:43" x14ac:dyDescent="0.2">
      <c r="A100" s="9">
        <v>86</v>
      </c>
      <c r="B100" s="2">
        <v>10.81</v>
      </c>
      <c r="C100" s="2">
        <v>10.79</v>
      </c>
      <c r="D100" s="2">
        <v>8.84</v>
      </c>
      <c r="P100" s="45"/>
      <c r="AE100"/>
      <c r="AF100"/>
      <c r="AG100" s="63"/>
      <c r="AH100"/>
      <c r="AL100" s="66"/>
      <c r="AM100" s="66"/>
      <c r="AN100" s="66"/>
      <c r="AO100" s="78"/>
      <c r="AP100" s="78"/>
      <c r="AQ100" s="67"/>
    </row>
    <row r="101" spans="1:43" x14ac:dyDescent="0.2">
      <c r="A101" s="9">
        <v>87</v>
      </c>
      <c r="B101" s="2">
        <v>10.86</v>
      </c>
      <c r="C101" s="2">
        <v>10.81</v>
      </c>
      <c r="D101" s="2">
        <v>8.84</v>
      </c>
      <c r="P101" s="45"/>
      <c r="AE101"/>
      <c r="AF101"/>
      <c r="AG101" s="63"/>
      <c r="AH101"/>
      <c r="AL101" s="66"/>
      <c r="AM101" s="66"/>
      <c r="AN101" s="66"/>
      <c r="AO101" s="78"/>
      <c r="AP101" s="78"/>
      <c r="AQ101" s="67"/>
    </row>
    <row r="102" spans="1:43" x14ac:dyDescent="0.2">
      <c r="A102" s="9">
        <v>88</v>
      </c>
      <c r="B102" s="2">
        <v>10.89</v>
      </c>
      <c r="C102" s="2">
        <v>10.86</v>
      </c>
      <c r="D102" s="2">
        <v>8.8000000000000007</v>
      </c>
      <c r="P102" s="45"/>
      <c r="AE102"/>
      <c r="AF102"/>
      <c r="AG102" s="63"/>
      <c r="AH102"/>
      <c r="AL102" s="66"/>
      <c r="AM102" s="66"/>
      <c r="AN102" s="66"/>
      <c r="AO102" s="78"/>
      <c r="AP102" s="78"/>
      <c r="AQ102" s="67"/>
    </row>
    <row r="103" spans="1:43" x14ac:dyDescent="0.2">
      <c r="A103" s="9">
        <v>89</v>
      </c>
      <c r="B103" s="2">
        <v>10.92</v>
      </c>
      <c r="C103" s="2">
        <v>10.89</v>
      </c>
      <c r="D103" s="2">
        <v>8.8000000000000007</v>
      </c>
      <c r="P103" s="45"/>
      <c r="AE103"/>
      <c r="AF103"/>
      <c r="AG103" s="63"/>
      <c r="AH103"/>
      <c r="AL103" s="66"/>
      <c r="AM103" s="66"/>
      <c r="AN103" s="66"/>
      <c r="AO103" s="78"/>
      <c r="AP103" s="78"/>
      <c r="AQ103" s="67"/>
    </row>
    <row r="104" spans="1:43" x14ac:dyDescent="0.2">
      <c r="A104" s="9">
        <v>90</v>
      </c>
      <c r="B104" s="2">
        <v>10.97</v>
      </c>
      <c r="C104" s="2">
        <v>10.92</v>
      </c>
      <c r="D104" s="2">
        <v>8.7200000000000006</v>
      </c>
      <c r="P104" s="45"/>
      <c r="AE104"/>
      <c r="AF104"/>
      <c r="AG104" s="63"/>
      <c r="AH104"/>
      <c r="AL104" s="66"/>
      <c r="AM104" s="66"/>
      <c r="AN104" s="66"/>
      <c r="AO104" s="78"/>
      <c r="AP104" s="78"/>
      <c r="AQ104" s="67"/>
    </row>
    <row r="105" spans="1:43" x14ac:dyDescent="0.2">
      <c r="A105" s="23">
        <v>91</v>
      </c>
      <c r="B105" s="2">
        <v>10.99</v>
      </c>
      <c r="C105" s="2">
        <v>10.97</v>
      </c>
      <c r="D105" s="2">
        <v>8.69</v>
      </c>
      <c r="P105" s="45"/>
      <c r="AE105"/>
      <c r="AF105"/>
      <c r="AG105" s="63"/>
      <c r="AH105"/>
      <c r="AL105" s="66"/>
      <c r="AM105" s="66"/>
      <c r="AN105" s="66"/>
      <c r="AO105" s="78"/>
      <c r="AP105" s="78"/>
      <c r="AQ105" s="67"/>
    </row>
    <row r="106" spans="1:43" x14ac:dyDescent="0.2">
      <c r="A106" s="23">
        <v>92</v>
      </c>
      <c r="B106" s="2">
        <v>10.02</v>
      </c>
      <c r="C106" s="2">
        <v>10.99</v>
      </c>
      <c r="D106" s="2">
        <v>8.67</v>
      </c>
      <c r="P106" s="45"/>
      <c r="AE106"/>
      <c r="AF106"/>
      <c r="AG106" s="63"/>
      <c r="AH106"/>
      <c r="AL106" s="66"/>
      <c r="AM106" s="66"/>
      <c r="AN106" s="66"/>
      <c r="AO106" s="78"/>
      <c r="AP106" s="78"/>
      <c r="AQ106" s="67"/>
    </row>
    <row r="107" spans="1:43" x14ac:dyDescent="0.2">
      <c r="A107" s="23">
        <v>93</v>
      </c>
      <c r="B107" s="2">
        <v>11.11</v>
      </c>
      <c r="C107" s="2">
        <v>11.11</v>
      </c>
      <c r="D107" s="2">
        <v>8.6199999999999992</v>
      </c>
      <c r="P107" s="45"/>
      <c r="AE107"/>
      <c r="AF107"/>
      <c r="AG107" s="63"/>
      <c r="AH107"/>
      <c r="AL107" s="66"/>
      <c r="AM107" s="66"/>
      <c r="AN107" s="66"/>
      <c r="AO107" s="78"/>
      <c r="AP107" s="78"/>
      <c r="AQ107" s="67"/>
    </row>
    <row r="108" spans="1:43" x14ac:dyDescent="0.2">
      <c r="A108" s="23">
        <v>94</v>
      </c>
      <c r="B108" s="2">
        <v>11.26</v>
      </c>
      <c r="C108" s="2">
        <v>11.26</v>
      </c>
      <c r="D108" s="2">
        <v>8.59</v>
      </c>
      <c r="P108" s="45"/>
      <c r="AE108"/>
      <c r="AF108"/>
      <c r="AG108" s="63"/>
      <c r="AH108"/>
      <c r="AL108" s="66"/>
      <c r="AM108" s="66"/>
      <c r="AN108" s="66"/>
      <c r="AO108" s="78"/>
      <c r="AP108" s="78"/>
      <c r="AQ108" s="67"/>
    </row>
    <row r="109" spans="1:43" x14ac:dyDescent="0.2">
      <c r="A109" s="23">
        <v>95</v>
      </c>
      <c r="B109" s="2">
        <v>11.28</v>
      </c>
      <c r="C109" s="2">
        <v>11.28</v>
      </c>
      <c r="D109" s="2">
        <v>8.39</v>
      </c>
      <c r="P109" s="45"/>
      <c r="AE109"/>
      <c r="AF109"/>
      <c r="AG109" s="63"/>
      <c r="AH109"/>
      <c r="AL109" s="66"/>
      <c r="AM109" s="66"/>
      <c r="AN109" s="66"/>
      <c r="AO109" s="78"/>
      <c r="AP109" s="78"/>
      <c r="AQ109" s="67"/>
    </row>
    <row r="110" spans="1:43" x14ac:dyDescent="0.2">
      <c r="A110" s="23">
        <v>96</v>
      </c>
      <c r="B110" s="2">
        <v>11.3</v>
      </c>
      <c r="C110" s="2">
        <v>11.3</v>
      </c>
      <c r="D110" s="2">
        <v>8.31</v>
      </c>
      <c r="P110" s="45"/>
      <c r="AE110"/>
      <c r="AF110"/>
      <c r="AG110" s="63"/>
      <c r="AH110"/>
      <c r="AL110" s="66"/>
      <c r="AM110" s="66"/>
      <c r="AN110" s="66"/>
      <c r="AO110" s="78"/>
      <c r="AP110" s="78"/>
      <c r="AQ110" s="67"/>
    </row>
    <row r="111" spans="1:43" x14ac:dyDescent="0.2">
      <c r="A111" s="23">
        <v>97</v>
      </c>
      <c r="B111" s="2">
        <v>11.41</v>
      </c>
      <c r="C111" s="2">
        <v>11.41</v>
      </c>
      <c r="D111" s="2">
        <v>7.97</v>
      </c>
      <c r="P111" s="45"/>
      <c r="AE111"/>
      <c r="AF111"/>
      <c r="AG111" s="63"/>
      <c r="AH111"/>
      <c r="AL111" s="66"/>
      <c r="AM111" s="66"/>
      <c r="AN111" s="66"/>
      <c r="AO111" s="78"/>
      <c r="AP111" s="78"/>
      <c r="AQ111" s="67"/>
    </row>
    <row r="112" spans="1:43" x14ac:dyDescent="0.2">
      <c r="A112" s="23">
        <v>98</v>
      </c>
      <c r="B112" s="2">
        <v>11.7</v>
      </c>
      <c r="C112" s="2">
        <v>11.7</v>
      </c>
      <c r="D112" s="2">
        <v>7.84</v>
      </c>
      <c r="P112" s="45"/>
      <c r="AE112"/>
      <c r="AF112"/>
      <c r="AG112" s="63"/>
      <c r="AH112"/>
      <c r="AL112" s="66"/>
      <c r="AM112" s="66"/>
      <c r="AN112" s="66"/>
      <c r="AO112" s="78"/>
      <c r="AP112" s="78"/>
      <c r="AQ112" s="67"/>
    </row>
    <row r="113" spans="1:43" x14ac:dyDescent="0.2">
      <c r="A113" s="23">
        <v>99</v>
      </c>
      <c r="B113" s="2">
        <v>12.19</v>
      </c>
      <c r="C113" s="2">
        <v>12.19</v>
      </c>
      <c r="D113" s="2">
        <v>7.16</v>
      </c>
      <c r="P113" s="45"/>
      <c r="AE113"/>
      <c r="AF113"/>
      <c r="AG113" s="63"/>
      <c r="AH113"/>
      <c r="AL113" s="66"/>
      <c r="AM113" s="66"/>
      <c r="AN113" s="66"/>
      <c r="AO113" s="78"/>
      <c r="AP113" s="78"/>
      <c r="AQ113" s="67"/>
    </row>
    <row r="114" spans="1:43" x14ac:dyDescent="0.2">
      <c r="A114" s="23">
        <v>100</v>
      </c>
      <c r="B114" s="2">
        <v>13.05</v>
      </c>
      <c r="C114" s="2">
        <v>13.05</v>
      </c>
      <c r="D114" s="2">
        <v>7.1</v>
      </c>
      <c r="P114" s="45"/>
      <c r="AE114"/>
      <c r="AF114"/>
      <c r="AG114" s="63"/>
      <c r="AH114"/>
      <c r="AL114" s="66"/>
      <c r="AM114" s="66"/>
      <c r="AN114" s="66"/>
      <c r="AO114" s="78"/>
      <c r="AP114" s="78"/>
      <c r="AQ114" s="67"/>
    </row>
    <row r="115" spans="1:43" x14ac:dyDescent="0.2">
      <c r="AL115" s="67"/>
      <c r="AM115" s="67"/>
      <c r="AN115" s="67"/>
      <c r="AO115" s="67"/>
      <c r="AP115" s="67"/>
      <c r="AQ115" s="67"/>
    </row>
    <row r="116" spans="1:43" x14ac:dyDescent="0.2">
      <c r="AL116" s="67"/>
      <c r="AM116" s="67"/>
      <c r="AN116" s="67"/>
      <c r="AO116" s="67"/>
      <c r="AP116" s="67"/>
      <c r="AQ116" s="67"/>
    </row>
    <row r="117" spans="1:43" x14ac:dyDescent="0.2">
      <c r="AL117" s="67"/>
      <c r="AM117" s="67"/>
      <c r="AN117" s="67"/>
      <c r="AO117" s="67"/>
      <c r="AP117" s="67"/>
      <c r="AQ117" s="67"/>
    </row>
    <row r="118" spans="1:43" x14ac:dyDescent="0.2">
      <c r="AL118" s="67"/>
      <c r="AM118" s="67"/>
      <c r="AN118" s="67"/>
      <c r="AO118" s="67"/>
      <c r="AP118" s="67"/>
      <c r="AQ118" s="67"/>
    </row>
    <row r="119" spans="1:43" x14ac:dyDescent="0.2">
      <c r="AL119" s="67"/>
      <c r="AM119" s="67"/>
      <c r="AN119" s="67"/>
      <c r="AO119" s="67"/>
      <c r="AP119" s="67"/>
      <c r="AQ119" s="67"/>
    </row>
    <row r="120" spans="1:43" x14ac:dyDescent="0.2">
      <c r="AL120" s="67"/>
      <c r="AM120" s="67"/>
      <c r="AN120" s="67"/>
      <c r="AO120" s="67"/>
      <c r="AP120" s="67"/>
      <c r="AQ120" s="67"/>
    </row>
    <row r="121" spans="1:43" x14ac:dyDescent="0.2">
      <c r="AL121" s="67"/>
      <c r="AM121" s="67"/>
      <c r="AN121" s="67"/>
      <c r="AO121" s="67"/>
      <c r="AP121" s="67"/>
      <c r="AQ121" s="67"/>
    </row>
    <row r="122" spans="1:43" x14ac:dyDescent="0.2">
      <c r="AL122" s="67"/>
      <c r="AM122" s="67"/>
      <c r="AN122" s="67"/>
      <c r="AO122" s="67"/>
      <c r="AP122" s="67"/>
      <c r="AQ122" s="67"/>
    </row>
    <row r="123" spans="1:43" x14ac:dyDescent="0.2">
      <c r="AL123" s="67"/>
      <c r="AM123" s="67"/>
      <c r="AN123" s="67"/>
      <c r="AO123" s="67"/>
      <c r="AP123" s="67"/>
      <c r="AQ123" s="67"/>
    </row>
    <row r="124" spans="1:43" x14ac:dyDescent="0.2">
      <c r="AL124" s="67"/>
      <c r="AM124" s="67"/>
      <c r="AN124" s="67"/>
      <c r="AO124" s="67"/>
      <c r="AP124" s="67"/>
      <c r="AQ124" s="67"/>
    </row>
    <row r="125" spans="1:43" x14ac:dyDescent="0.2">
      <c r="AL125" s="67"/>
      <c r="AM125" s="67"/>
      <c r="AN125" s="67"/>
      <c r="AO125" s="67"/>
      <c r="AP125" s="67"/>
      <c r="AQ125" s="67"/>
    </row>
    <row r="126" spans="1:43" x14ac:dyDescent="0.2">
      <c r="AL126" s="67"/>
      <c r="AM126" s="67"/>
      <c r="AN126" s="67"/>
      <c r="AO126" s="67"/>
      <c r="AP126" s="67"/>
      <c r="AQ126" s="67"/>
    </row>
    <row r="127" spans="1:43" x14ac:dyDescent="0.2">
      <c r="AL127" s="67"/>
      <c r="AM127" s="67"/>
      <c r="AN127" s="67"/>
      <c r="AO127" s="67"/>
      <c r="AP127" s="67"/>
      <c r="AQ127" s="67"/>
    </row>
    <row r="128" spans="1:43" x14ac:dyDescent="0.2">
      <c r="AL128" s="67"/>
      <c r="AM128" s="67"/>
      <c r="AN128" s="67"/>
      <c r="AO128" s="67"/>
      <c r="AP128" s="67"/>
      <c r="AQ128" s="67"/>
    </row>
    <row r="129" spans="38:42" x14ac:dyDescent="0.2">
      <c r="AL129" s="67"/>
      <c r="AM129" s="67"/>
      <c r="AN129" s="67"/>
      <c r="AO129" s="67"/>
      <c r="AP129" s="67"/>
    </row>
    <row r="130" spans="38:42" x14ac:dyDescent="0.2">
      <c r="AL130" s="67"/>
      <c r="AM130" s="67"/>
      <c r="AN130" s="67"/>
      <c r="AO130" s="67"/>
      <c r="AP130" s="67"/>
    </row>
    <row r="131" spans="38:42" x14ac:dyDescent="0.2">
      <c r="AL131" s="67"/>
      <c r="AM131" s="67"/>
      <c r="AN131" s="67"/>
      <c r="AO131" s="67"/>
      <c r="AP131" s="67"/>
    </row>
    <row r="132" spans="38:42" x14ac:dyDescent="0.2">
      <c r="AL132" s="67"/>
      <c r="AM132" s="67"/>
      <c r="AN132" s="67"/>
      <c r="AO132" s="67"/>
      <c r="AP132" s="67"/>
    </row>
    <row r="133" spans="38:42" x14ac:dyDescent="0.2">
      <c r="AL133" s="67"/>
      <c r="AM133" s="67"/>
      <c r="AN133" s="67"/>
      <c r="AO133" s="67"/>
      <c r="AP133" s="67"/>
    </row>
    <row r="134" spans="38:42" x14ac:dyDescent="0.2">
      <c r="AL134" s="67"/>
      <c r="AM134" s="67"/>
      <c r="AN134" s="67"/>
      <c r="AO134" s="67"/>
      <c r="AP134" s="67"/>
    </row>
    <row r="135" spans="38:42" x14ac:dyDescent="0.2">
      <c r="AL135" s="67"/>
      <c r="AM135" s="67"/>
      <c r="AN135" s="67"/>
      <c r="AO135" s="67"/>
      <c r="AP135" s="67"/>
    </row>
  </sheetData>
  <sortState ref="D15:D114">
    <sortCondition descending="1" ref="D15"/>
  </sortState>
  <mergeCells count="36">
    <mergeCell ref="A9:A14"/>
    <mergeCell ref="B9:B14"/>
    <mergeCell ref="C9:C14"/>
    <mergeCell ref="D9:D14"/>
    <mergeCell ref="E9:E14"/>
    <mergeCell ref="AW49:AW53"/>
    <mergeCell ref="AX49:AX52"/>
    <mergeCell ref="AW59:AW63"/>
    <mergeCell ref="AX59:AX62"/>
    <mergeCell ref="AU1:AU5"/>
    <mergeCell ref="AS1:AS5"/>
    <mergeCell ref="V9:V13"/>
    <mergeCell ref="U9:U13"/>
    <mergeCell ref="W9:W13"/>
    <mergeCell ref="S9:S13"/>
    <mergeCell ref="AQ7:AU8"/>
    <mergeCell ref="AT1:AT5"/>
    <mergeCell ref="Q1:W1"/>
    <mergeCell ref="Q3:W3"/>
    <mergeCell ref="T9:T11"/>
    <mergeCell ref="E16:E20"/>
    <mergeCell ref="AR1:AR5"/>
    <mergeCell ref="AQ1:AQ5"/>
    <mergeCell ref="Q9:Q13"/>
    <mergeCell ref="X9:X13"/>
    <mergeCell ref="F9:F14"/>
    <mergeCell ref="G9:G14"/>
    <mergeCell ref="H9:H14"/>
    <mergeCell ref="I9:I14"/>
    <mergeCell ref="J7:R7"/>
    <mergeCell ref="A1:O3"/>
    <mergeCell ref="A4:O6"/>
    <mergeCell ref="K9:M12"/>
    <mergeCell ref="N9:P12"/>
    <mergeCell ref="C7:D7"/>
    <mergeCell ref="J9:J13"/>
  </mergeCells>
  <phoneticPr fontId="2" type="noConversion"/>
  <conditionalFormatting sqref="R15:R48 AQ15:AS40 S15:Y40 AG43:AG114 AE25:AE42 AB25:AD40 AB19:AE24 AF19:AF40 AB15:AH16 AB17:AF18 AG17:AH42">
    <cfRule type="cellIs" dxfId="4" priority="9" stopIfTrue="1" operator="greaterThan">
      <formula>0</formula>
    </cfRule>
  </conditionalFormatting>
  <conditionalFormatting sqref="J15:J40 X15:X40 AG43:AG114 AE25:AE42 AB25:AD40 AB19:AE24 AF19:AF40 AB15:AH16 AB17:AF18 AG17:AH42">
    <cfRule type="cellIs" dxfId="3" priority="8" operator="between">
      <formula>1</formula>
      <formula>$F$15</formula>
    </cfRule>
  </conditionalFormatting>
  <conditionalFormatting sqref="K16">
    <cfRule type="cellIs" dxfId="2" priority="7" operator="equal">
      <formula>#REF!</formula>
    </cfRule>
  </conditionalFormatting>
  <conditionalFormatting sqref="L15:L40">
    <cfRule type="cellIs" dxfId="1" priority="6" operator="equal">
      <formula>#REF!</formula>
    </cfRule>
  </conditionalFormatting>
  <conditionalFormatting sqref="AP16:AP40">
    <cfRule type="cellIs" dxfId="0" priority="1" operator="greaterThan">
      <formula>0</formula>
    </cfRule>
  </conditionalFormatting>
  <pageMargins left="0.75" right="0.75" top="1" bottom="1" header="0" footer="0"/>
  <headerFooter alignWithMargins="0"/>
  <ignoredErrors>
    <ignoredError sqref="T15 L1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31"/>
  <sheetViews>
    <sheetView workbookViewId="0">
      <selection activeCell="B11" sqref="B11"/>
    </sheetView>
  </sheetViews>
  <sheetFormatPr baseColWidth="10" defaultColWidth="11.42578125" defaultRowHeight="30" x14ac:dyDescent="0.4"/>
  <cols>
    <col min="1" max="1" width="22.42578125" style="36" bestFit="1" customWidth="1"/>
    <col min="2" max="2" width="94.28515625" style="1" customWidth="1"/>
    <col min="3" max="16384" width="11.42578125" style="1"/>
  </cols>
  <sheetData>
    <row r="1" spans="1:2" x14ac:dyDescent="0.4">
      <c r="A1" s="36" t="s">
        <v>76</v>
      </c>
      <c r="B1" s="35" t="s">
        <v>77</v>
      </c>
    </row>
    <row r="2" spans="1:2" x14ac:dyDescent="0.4">
      <c r="B2" s="34" t="s">
        <v>78</v>
      </c>
    </row>
    <row r="3" spans="1:2" ht="42" x14ac:dyDescent="0.4">
      <c r="A3" s="36">
        <v>1</v>
      </c>
      <c r="B3" s="37" t="s">
        <v>79</v>
      </c>
    </row>
    <row r="4" spans="1:2" x14ac:dyDescent="0.4">
      <c r="A4" s="36">
        <v>2</v>
      </c>
      <c r="B4" s="37"/>
    </row>
    <row r="5" spans="1:2" x14ac:dyDescent="0.4">
      <c r="A5" s="36">
        <v>3</v>
      </c>
      <c r="B5" s="37"/>
    </row>
    <row r="6" spans="1:2" x14ac:dyDescent="0.4">
      <c r="A6" s="36">
        <v>4</v>
      </c>
      <c r="B6" s="37"/>
    </row>
    <row r="7" spans="1:2" x14ac:dyDescent="0.4">
      <c r="A7" s="36">
        <v>5</v>
      </c>
      <c r="B7" s="37"/>
    </row>
    <row r="8" spans="1:2" x14ac:dyDescent="0.4">
      <c r="A8" s="36">
        <v>6</v>
      </c>
      <c r="B8" s="37"/>
    </row>
    <row r="9" spans="1:2" x14ac:dyDescent="0.4">
      <c r="A9" s="36">
        <v>7</v>
      </c>
      <c r="B9" s="37"/>
    </row>
    <row r="10" spans="1:2" x14ac:dyDescent="0.4">
      <c r="A10" s="36">
        <v>8</v>
      </c>
      <c r="B10" s="37"/>
    </row>
    <row r="11" spans="1:2" x14ac:dyDescent="0.4">
      <c r="A11" s="36">
        <v>9</v>
      </c>
      <c r="B11" s="37"/>
    </row>
    <row r="12" spans="1:2" x14ac:dyDescent="0.4">
      <c r="A12" s="36">
        <v>10</v>
      </c>
      <c r="B12" s="37"/>
    </row>
    <row r="13" spans="1:2" x14ac:dyDescent="0.4">
      <c r="A13" s="36">
        <v>11</v>
      </c>
      <c r="B13" s="37"/>
    </row>
    <row r="14" spans="1:2" x14ac:dyDescent="0.4">
      <c r="A14" s="36">
        <v>12</v>
      </c>
      <c r="B14" s="37"/>
    </row>
    <row r="15" spans="1:2" x14ac:dyDescent="0.4">
      <c r="A15" s="36">
        <v>13</v>
      </c>
      <c r="B15" s="37"/>
    </row>
    <row r="16" spans="1:2" x14ac:dyDescent="0.4">
      <c r="A16" s="36">
        <v>14</v>
      </c>
      <c r="B16" s="37"/>
    </row>
    <row r="17" spans="1:2" x14ac:dyDescent="0.4">
      <c r="A17" s="36">
        <v>15</v>
      </c>
      <c r="B17" s="37"/>
    </row>
    <row r="18" spans="1:2" x14ac:dyDescent="0.4">
      <c r="A18" s="36">
        <v>16</v>
      </c>
      <c r="B18" s="37"/>
    </row>
    <row r="19" spans="1:2" x14ac:dyDescent="0.4">
      <c r="A19" s="36">
        <v>17</v>
      </c>
      <c r="B19" s="37"/>
    </row>
    <row r="20" spans="1:2" x14ac:dyDescent="0.4">
      <c r="B20" s="37"/>
    </row>
    <row r="21" spans="1:2" x14ac:dyDescent="0.4">
      <c r="B21" s="37"/>
    </row>
    <row r="22" spans="1:2" x14ac:dyDescent="0.4">
      <c r="B22" s="37"/>
    </row>
    <row r="23" spans="1:2" x14ac:dyDescent="0.4">
      <c r="B23" s="37"/>
    </row>
    <row r="24" spans="1:2" x14ac:dyDescent="0.4">
      <c r="B24" s="37"/>
    </row>
    <row r="25" spans="1:2" x14ac:dyDescent="0.4">
      <c r="B25" s="37"/>
    </row>
    <row r="26" spans="1:2" x14ac:dyDescent="0.4">
      <c r="B26" s="37"/>
    </row>
    <row r="27" spans="1:2" x14ac:dyDescent="0.4">
      <c r="B27" s="37"/>
    </row>
    <row r="28" spans="1:2" x14ac:dyDescent="0.4">
      <c r="B28" s="37"/>
    </row>
    <row r="29" spans="1:2" x14ac:dyDescent="0.4">
      <c r="B29" s="37"/>
    </row>
    <row r="30" spans="1:2" x14ac:dyDescent="0.4">
      <c r="B30" s="37"/>
    </row>
    <row r="31" spans="1:2" x14ac:dyDescent="0.4">
      <c r="B31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17</vt:i4>
      </vt:variant>
    </vt:vector>
  </HeadingPairs>
  <TitlesOfParts>
    <vt:vector size="19" baseType="lpstr">
      <vt:lpstr>distribuciones</vt:lpstr>
      <vt:lpstr>INFERENCIAS</vt:lpstr>
      <vt:lpstr>7 HIST FRE ABS</vt:lpstr>
      <vt:lpstr>10. HIST FREC REL</vt:lpstr>
      <vt:lpstr>7 10 14 16 hist y polig</vt:lpstr>
      <vt:lpstr>14. POL FREC ABS</vt:lpstr>
      <vt:lpstr>15. OJIVA "O-"</vt:lpstr>
      <vt:lpstr>16. POL FREC REL</vt:lpstr>
      <vt:lpstr>17. OJIVA % "O -"</vt:lpstr>
      <vt:lpstr>18. OJIVA "O+"</vt:lpstr>
      <vt:lpstr>19. OJIVA % "O+"</vt:lpstr>
      <vt:lpstr>15 Y 17. OJIVA ABS Y % O-</vt:lpstr>
      <vt:lpstr>20. CURVA FREC ABS</vt:lpstr>
      <vt:lpstr>21. OJIVA SUAV "O-"</vt:lpstr>
      <vt:lpstr>22. CURVA FREC REL</vt:lpstr>
      <vt:lpstr>23. OJIVA SUAV % "O-"</vt:lpstr>
      <vt:lpstr>24. OJIVA SUAV "O+"</vt:lpstr>
      <vt:lpstr>25. OJIVA SUAV % "O+"</vt:lpstr>
      <vt:lpstr>21 Y 23. OJIVA SUAV ABS Y % O-</vt:lpstr>
    </vt:vector>
  </TitlesOfParts>
  <Manager/>
  <Company>GAN@RED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Giovanni Holguín Rojas</dc:creator>
  <cp:keywords/>
  <dc:description/>
  <cp:lastModifiedBy>giovannihr2005</cp:lastModifiedBy>
  <cp:revision/>
  <dcterms:created xsi:type="dcterms:W3CDTF">2017-07-19T21:56:20Z</dcterms:created>
  <dcterms:modified xsi:type="dcterms:W3CDTF">2019-09-09T04:50:02Z</dcterms:modified>
  <cp:category/>
  <cp:contentStatus/>
</cp:coreProperties>
</file>